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66925"/>
  <mc:AlternateContent xmlns:mc="http://schemas.openxmlformats.org/markup-compatibility/2006">
    <mc:Choice Requires="x15">
      <x15ac:absPath xmlns:x15ac="http://schemas.microsoft.com/office/spreadsheetml/2010/11/ac" url="C:\Users\karen\Downloads\"/>
    </mc:Choice>
  </mc:AlternateContent>
  <xr:revisionPtr revIDLastSave="0" documentId="13_ncr:1_{26174003-21F2-47B6-85A8-D399E79EEB89}" xr6:coauthVersionLast="47" xr6:coauthVersionMax="47" xr10:uidLastSave="{00000000-0000-0000-0000-000000000000}"/>
  <bookViews>
    <workbookView xWindow="-120" yWindow="-120" windowWidth="20730" windowHeight="11160" tabRatio="550" firstSheet="8" activeTab="8" xr2:uid="{00000000-000D-0000-FFFF-FFFF00000000}"/>
  </bookViews>
  <sheets>
    <sheet name="Comparación general estructura" sheetId="3" state="hidden" r:id="rId1"/>
    <sheet name="Estructura general " sheetId="5" state="hidden" r:id="rId2"/>
    <sheet name="Armonización PED-PI" sheetId="15" state="hidden" r:id="rId3"/>
    <sheet name="a. Propuesta de gobierno" sheetId="10" state="hidden" r:id="rId4"/>
    <sheet name="Armonización PED-PI (2)" sheetId="21" state="hidden" r:id="rId5"/>
    <sheet name="Arm. Obs CNA-PI" sheetId="14" state="hidden" r:id="rId6"/>
    <sheet name="Resumen Plan Indicativo " sheetId="12" state="hidden" r:id="rId7"/>
    <sheet name="Plan Indicativo 2022-2025" sheetId="29" state="hidden" r:id="rId8"/>
    <sheet name="Costeo por proyecto" sheetId="27" r:id="rId9"/>
    <sheet name="Costo Plan" sheetId="33" state="hidden" r:id="rId10"/>
    <sheet name="Resumen General" sheetId="32" r:id="rId11"/>
    <sheet name="Aporte al PED" sheetId="17" state="hidden" r:id="rId12"/>
    <sheet name="hoja validación PED" sheetId="20" state="hidden" r:id="rId13"/>
    <sheet name="PED (Ajustado)" sheetId="1" state="hidden" r:id="rId14"/>
    <sheet name="Estructura P. Gobierno" sheetId="2" state="hidden" r:id="rId15"/>
  </sheets>
  <definedNames>
    <definedName name="_xlnm._FilterDatabase" localSheetId="11" hidden="1">'Aporte al PED'!$B$5:$N$49</definedName>
    <definedName name="_xlnm._FilterDatabase" localSheetId="5" hidden="1">'Arm. Obs CNA-PI'!$B$3:$L$61</definedName>
    <definedName name="_xlnm._FilterDatabase" localSheetId="2" hidden="1">'Armonización PED-PI'!$A$2:$I$140</definedName>
    <definedName name="_xlnm._FilterDatabase" localSheetId="4" hidden="1">'Armonización PED-PI (2)'!$A$2:$I$140</definedName>
    <definedName name="_xlnm._FilterDatabase" localSheetId="8" hidden="1">'Costeo por proyecto'!$B$3:$X$115</definedName>
    <definedName name="_xlnm._FilterDatabase" localSheetId="9" hidden="1">'Costo Plan'!$B$3:$X$115</definedName>
    <definedName name="_xlnm._FilterDatabase" localSheetId="14" hidden="1">'Estructura P. Gobierno'!$B$2:$J$76</definedName>
    <definedName name="_xlnm._FilterDatabase" localSheetId="12" hidden="1">'hoja validación PED'!$A$2:$E$99</definedName>
    <definedName name="_xlnm._FilterDatabase" localSheetId="7" hidden="1">'Plan Indicativo 2022-2025'!$B$3:$T$114</definedName>
    <definedName name="_xlnm.Print_Area" localSheetId="5">'Arm. Obs CNA-PI'!$B$1:$H$61</definedName>
    <definedName name="_xlnm.Print_Area" localSheetId="2">'Armonización PED-PI'!$A$1:$I$141</definedName>
    <definedName name="_xlnm.Print_Area" localSheetId="4">'Armonización PED-PI (2)'!$E$143:$I$170</definedName>
    <definedName name="_xlnm.Print_Area" localSheetId="13">'PED (Ajustado)'!$A$1:$R$115</definedName>
    <definedName name="_xlnm.Print_Area" localSheetId="7">'Plan Indicativo 2022-2025'!$B$3:$S$114</definedName>
    <definedName name="_xlnm.Print_Titles" localSheetId="5">'Arm. Obs CNA-PI'!$1:$2</definedName>
    <definedName name="_xlnm.Print_Titles" localSheetId="2">'Armonización PED-PI'!$1:$2</definedName>
    <definedName name="_xlnm.Print_Titles" localSheetId="4">'Armonización PED-PI (2)'!$143:$144</definedName>
    <definedName name="_xlnm.Print_Titles" localSheetId="13">'PED (Ajustado)'!$2:$5</definedName>
    <definedName name="_xlnm.Print_Titles" localSheetId="7">'Plan Indicativo 2022-2025'!$3:$4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27" l="1"/>
  <c r="U17" i="27"/>
  <c r="K5" i="27"/>
  <c r="V95" i="27"/>
  <c r="P122" i="33"/>
  <c r="W17" i="27"/>
  <c r="M17" i="27"/>
  <c r="O17" i="27" s="1"/>
  <c r="Q17" i="27" s="1"/>
  <c r="K17" i="27"/>
  <c r="W17" i="33"/>
  <c r="G48" i="32" s="1"/>
  <c r="V17" i="33"/>
  <c r="L121" i="33"/>
  <c r="M113" i="33"/>
  <c r="O113" i="33" s="1"/>
  <c r="M113" i="27"/>
  <c r="O113" i="27" s="1"/>
  <c r="M60" i="33"/>
  <c r="O60" i="33" s="1"/>
  <c r="S60" i="33" s="1"/>
  <c r="U60" i="33" s="1"/>
  <c r="M60" i="27"/>
  <c r="O60" i="27" s="1"/>
  <c r="R122" i="33"/>
  <c r="L122" i="33"/>
  <c r="K122" i="33"/>
  <c r="K9" i="33"/>
  <c r="M9" i="33" s="1"/>
  <c r="O9" i="33" s="1"/>
  <c r="Q9" i="33" s="1"/>
  <c r="S9" i="33" s="1"/>
  <c r="U9" i="33" s="1"/>
  <c r="K8" i="33"/>
  <c r="M8" i="33" s="1"/>
  <c r="O8" i="33" s="1"/>
  <c r="Q8" i="33" s="1"/>
  <c r="K9" i="27"/>
  <c r="M9" i="27" s="1"/>
  <c r="Q72" i="33"/>
  <c r="S72" i="33" s="1"/>
  <c r="U72" i="33" s="1"/>
  <c r="O71" i="33"/>
  <c r="S71" i="33" s="1"/>
  <c r="U71" i="33" s="1"/>
  <c r="Q72" i="27"/>
  <c r="O71" i="27"/>
  <c r="M112" i="33"/>
  <c r="M112" i="27"/>
  <c r="O112" i="27" s="1"/>
  <c r="Q112" i="27" s="1"/>
  <c r="R99" i="27"/>
  <c r="N98" i="27"/>
  <c r="L123" i="33"/>
  <c r="R99" i="33"/>
  <c r="S99" i="33" s="1"/>
  <c r="H50" i="32" s="1"/>
  <c r="N98" i="33"/>
  <c r="N122" i="33" s="1"/>
  <c r="K123" i="33"/>
  <c r="R121" i="33"/>
  <c r="P121" i="33"/>
  <c r="N121" i="33"/>
  <c r="S114" i="33"/>
  <c r="S111" i="33"/>
  <c r="S110" i="33"/>
  <c r="S109" i="33"/>
  <c r="V109" i="33" s="1"/>
  <c r="K108" i="33"/>
  <c r="M108" i="33" s="1"/>
  <c r="K107" i="33"/>
  <c r="K106" i="33"/>
  <c r="S106" i="33" s="1"/>
  <c r="U106" i="33" s="1"/>
  <c r="M105" i="33"/>
  <c r="S104" i="33"/>
  <c r="U104" i="33" s="1"/>
  <c r="M103" i="33"/>
  <c r="R102" i="33"/>
  <c r="S101" i="33"/>
  <c r="V101" i="33" s="1"/>
  <c r="K100" i="33"/>
  <c r="M100" i="33" s="1"/>
  <c r="S100" i="33" s="1"/>
  <c r="U100" i="33" s="1"/>
  <c r="S98" i="33"/>
  <c r="V98" i="33" s="1"/>
  <c r="S97" i="33"/>
  <c r="U97" i="33" s="1"/>
  <c r="S96" i="33"/>
  <c r="V95" i="33"/>
  <c r="M95" i="33"/>
  <c r="O95" i="33" s="1"/>
  <c r="M94" i="33"/>
  <c r="O94" i="33" s="1"/>
  <c r="S94" i="33" s="1"/>
  <c r="U94" i="33" s="1"/>
  <c r="M93" i="33"/>
  <c r="S92" i="33"/>
  <c r="U92" i="33" s="1"/>
  <c r="S91" i="33"/>
  <c r="S90" i="33"/>
  <c r="S89" i="33"/>
  <c r="U89" i="33" s="1"/>
  <c r="S88" i="33"/>
  <c r="K87" i="33"/>
  <c r="M87" i="33" s="1"/>
  <c r="K86" i="33"/>
  <c r="M86" i="33" s="1"/>
  <c r="O86" i="33" s="1"/>
  <c r="Q86" i="33" s="1"/>
  <c r="K85" i="33"/>
  <c r="K84" i="33"/>
  <c r="M84" i="33" s="1"/>
  <c r="O84" i="33" s="1"/>
  <c r="Q84" i="33" s="1"/>
  <c r="K83" i="33"/>
  <c r="M83" i="33" s="1"/>
  <c r="K82" i="33"/>
  <c r="K81" i="33"/>
  <c r="S80" i="33"/>
  <c r="U80" i="33" s="1"/>
  <c r="K79" i="33"/>
  <c r="M79" i="33" s="1"/>
  <c r="O79" i="33" s="1"/>
  <c r="Q79" i="33" s="1"/>
  <c r="K78" i="33"/>
  <c r="M78" i="33" s="1"/>
  <c r="O78" i="33" s="1"/>
  <c r="Q78" i="33" s="1"/>
  <c r="K77" i="33"/>
  <c r="M77" i="33" s="1"/>
  <c r="M76" i="33"/>
  <c r="O76" i="33" s="1"/>
  <c r="M75" i="33"/>
  <c r="M74" i="33"/>
  <c r="O74" i="33" s="1"/>
  <c r="Q74" i="33" s="1"/>
  <c r="S74" i="33" s="1"/>
  <c r="M73" i="33"/>
  <c r="O73" i="33" s="1"/>
  <c r="M70" i="33"/>
  <c r="K69" i="33"/>
  <c r="M69" i="33" s="1"/>
  <c r="O69" i="33" s="1"/>
  <c r="Q69" i="33" s="1"/>
  <c r="S68" i="33"/>
  <c r="K67" i="33"/>
  <c r="S66" i="33"/>
  <c r="Q65" i="33"/>
  <c r="K65" i="33"/>
  <c r="M65" i="33" s="1"/>
  <c r="S64" i="33"/>
  <c r="U64" i="33" s="1"/>
  <c r="M63" i="33"/>
  <c r="O63" i="33" s="1"/>
  <c r="Q63" i="33" s="1"/>
  <c r="M62" i="33"/>
  <c r="O62" i="33" s="1"/>
  <c r="Q62" i="33" s="1"/>
  <c r="S62" i="33" s="1"/>
  <c r="U62" i="33" s="1"/>
  <c r="S61" i="33"/>
  <c r="U61" i="33" s="1"/>
  <c r="M59" i="33"/>
  <c r="O59" i="33" s="1"/>
  <c r="Q59" i="33" s="1"/>
  <c r="S59" i="33" s="1"/>
  <c r="U59" i="33" s="1"/>
  <c r="M58" i="33"/>
  <c r="O58" i="33" s="1"/>
  <c r="K57" i="33"/>
  <c r="K56" i="33"/>
  <c r="M56" i="33" s="1"/>
  <c r="O56" i="33" s="1"/>
  <c r="Q56" i="33" s="1"/>
  <c r="O55" i="33"/>
  <c r="Q55" i="33" s="1"/>
  <c r="K55" i="33"/>
  <c r="M55" i="33" s="1"/>
  <c r="K54" i="33"/>
  <c r="M54" i="33" s="1"/>
  <c r="S53" i="33"/>
  <c r="Q51" i="33"/>
  <c r="O51" i="33"/>
  <c r="M51" i="33"/>
  <c r="K51" i="33"/>
  <c r="Q50" i="33"/>
  <c r="O50" i="33"/>
  <c r="M50" i="33"/>
  <c r="K50" i="33"/>
  <c r="K49" i="33"/>
  <c r="K48" i="33"/>
  <c r="M48" i="33" s="1"/>
  <c r="O48" i="33" s="1"/>
  <c r="Q48" i="33" s="1"/>
  <c r="K47" i="33"/>
  <c r="M47" i="33" s="1"/>
  <c r="O47" i="33" s="1"/>
  <c r="K46" i="33"/>
  <c r="M46" i="33" s="1"/>
  <c r="K45" i="33"/>
  <c r="K44" i="33"/>
  <c r="M44" i="33" s="1"/>
  <c r="O44" i="33" s="1"/>
  <c r="Q44" i="33" s="1"/>
  <c r="Q43" i="33"/>
  <c r="O43" i="33"/>
  <c r="M43" i="33"/>
  <c r="K43" i="33"/>
  <c r="Q42" i="33"/>
  <c r="O42" i="33"/>
  <c r="M42" i="33"/>
  <c r="K42" i="33"/>
  <c r="Q41" i="33"/>
  <c r="O41" i="33"/>
  <c r="M41" i="33"/>
  <c r="K41" i="33"/>
  <c r="Q40" i="33"/>
  <c r="O40" i="33"/>
  <c r="M40" i="33"/>
  <c r="K40" i="33"/>
  <c r="M39" i="33"/>
  <c r="M38" i="33"/>
  <c r="K38" i="33"/>
  <c r="S37" i="33"/>
  <c r="V37" i="33" s="1"/>
  <c r="K36" i="33"/>
  <c r="K35" i="33"/>
  <c r="M35" i="33" s="1"/>
  <c r="O35" i="33" s="1"/>
  <c r="Q35" i="33" s="1"/>
  <c r="K34" i="33"/>
  <c r="M34" i="33" s="1"/>
  <c r="O34" i="33" s="1"/>
  <c r="L33" i="33"/>
  <c r="K33" i="33"/>
  <c r="S32" i="33"/>
  <c r="O31" i="33"/>
  <c r="S30" i="33"/>
  <c r="S29" i="33"/>
  <c r="S28" i="33"/>
  <c r="S27" i="33"/>
  <c r="S26" i="33"/>
  <c r="S25" i="33"/>
  <c r="S24" i="33"/>
  <c r="K23" i="33"/>
  <c r="U22" i="33"/>
  <c r="S22" i="33"/>
  <c r="Q21" i="33"/>
  <c r="S21" i="33" s="1"/>
  <c r="V21" i="33" s="1"/>
  <c r="M20" i="33"/>
  <c r="S20" i="33" s="1"/>
  <c r="U20" i="33" s="1"/>
  <c r="R19" i="33"/>
  <c r="Q19" i="33"/>
  <c r="Q123" i="33" s="1"/>
  <c r="P19" i="33"/>
  <c r="P123" i="33" s="1"/>
  <c r="O19" i="33"/>
  <c r="O123" i="33" s="1"/>
  <c r="N19" i="33"/>
  <c r="N123" i="33" s="1"/>
  <c r="M19" i="33"/>
  <c r="M123" i="33" s="1"/>
  <c r="S18" i="33"/>
  <c r="K17" i="33"/>
  <c r="M17" i="33" s="1"/>
  <c r="O17" i="33" s="1"/>
  <c r="Q17" i="33" s="1"/>
  <c r="S16" i="33"/>
  <c r="U16" i="33" s="1"/>
  <c r="K15" i="33"/>
  <c r="M15" i="33" s="1"/>
  <c r="O15" i="33" s="1"/>
  <c r="Q15" i="33" s="1"/>
  <c r="K14" i="33"/>
  <c r="K13" i="33"/>
  <c r="M13" i="33" s="1"/>
  <c r="O13" i="33" s="1"/>
  <c r="Q13" i="33" s="1"/>
  <c r="K12" i="33"/>
  <c r="M12" i="33" s="1"/>
  <c r="U11" i="33"/>
  <c r="S11" i="33"/>
  <c r="K7" i="33"/>
  <c r="K10" i="33" s="1"/>
  <c r="K6" i="33"/>
  <c r="K5" i="33"/>
  <c r="H31" i="32"/>
  <c r="G31" i="32"/>
  <c r="F31" i="32"/>
  <c r="E31" i="32"/>
  <c r="D31" i="32"/>
  <c r="C31" i="32"/>
  <c r="M122" i="33" l="1"/>
  <c r="K121" i="33"/>
  <c r="O122" i="33"/>
  <c r="Q113" i="33"/>
  <c r="S113" i="33" s="1"/>
  <c r="Q113" i="27"/>
  <c r="S113" i="27" s="1"/>
  <c r="U113" i="27" s="1"/>
  <c r="R123" i="33"/>
  <c r="R124" i="33" s="1"/>
  <c r="H49" i="32"/>
  <c r="K124" i="33"/>
  <c r="S38" i="33"/>
  <c r="U38" i="33" s="1"/>
  <c r="O9" i="27"/>
  <c r="Q9" i="27" s="1"/>
  <c r="S121" i="33"/>
  <c r="W99" i="33"/>
  <c r="T123" i="33"/>
  <c r="O112" i="33"/>
  <c r="Q112" i="33" s="1"/>
  <c r="S65" i="33"/>
  <c r="U65" i="33" s="1"/>
  <c r="L115" i="33"/>
  <c r="L116" i="33" s="1"/>
  <c r="L124" i="33"/>
  <c r="N124" i="33"/>
  <c r="P124" i="33"/>
  <c r="G49" i="32"/>
  <c r="G52" i="32" s="1"/>
  <c r="U50" i="33"/>
  <c r="S122" i="33"/>
  <c r="S40" i="33"/>
  <c r="U40" i="33" s="1"/>
  <c r="S51" i="33"/>
  <c r="U51" i="33" s="1"/>
  <c r="S43" i="33"/>
  <c r="U43" i="33" s="1"/>
  <c r="M6" i="33"/>
  <c r="O6" i="33" s="1"/>
  <c r="Q6" i="33" s="1"/>
  <c r="S41" i="33"/>
  <c r="U41" i="33" s="1"/>
  <c r="S55" i="33"/>
  <c r="U55" i="33" s="1"/>
  <c r="S78" i="33"/>
  <c r="U78" i="33" s="1"/>
  <c r="M82" i="33"/>
  <c r="O82" i="33" s="1"/>
  <c r="Q82" i="33" s="1"/>
  <c r="U53" i="33"/>
  <c r="W53" i="33" s="1"/>
  <c r="V22" i="33"/>
  <c r="S50" i="33"/>
  <c r="R115" i="33"/>
  <c r="R116" i="33" s="1"/>
  <c r="S84" i="33"/>
  <c r="U84" i="33" s="1"/>
  <c r="O39" i="33"/>
  <c r="Q39" i="33" s="1"/>
  <c r="K115" i="33"/>
  <c r="K116" i="33" s="1"/>
  <c r="S13" i="33"/>
  <c r="U13" i="33" s="1"/>
  <c r="S42" i="33"/>
  <c r="U42" i="33" s="1"/>
  <c r="S86" i="33"/>
  <c r="U86" i="33" s="1"/>
  <c r="Q47" i="33"/>
  <c r="S47" i="33" s="1"/>
  <c r="U47" i="33" s="1"/>
  <c r="Q73" i="33"/>
  <c r="S73" i="33" s="1"/>
  <c r="U73" i="33" s="1"/>
  <c r="O87" i="33"/>
  <c r="Q87" i="33" s="1"/>
  <c r="O77" i="33"/>
  <c r="Q77" i="33" s="1"/>
  <c r="O83" i="33"/>
  <c r="Q83" i="33" s="1"/>
  <c r="Q95" i="33"/>
  <c r="S95" i="33" s="1"/>
  <c r="M10" i="33"/>
  <c r="O10" i="33" s="1"/>
  <c r="Q10" i="33" s="1"/>
  <c r="Q34" i="33"/>
  <c r="S34" i="33" s="1"/>
  <c r="U34" i="33" s="1"/>
  <c r="Q58" i="33"/>
  <c r="S58" i="33" s="1"/>
  <c r="U58" i="33" s="1"/>
  <c r="U74" i="33"/>
  <c r="W74" i="33" s="1"/>
  <c r="O12" i="33"/>
  <c r="Q12" i="33" s="1"/>
  <c r="O46" i="33"/>
  <c r="Q46" i="33" s="1"/>
  <c r="O54" i="33"/>
  <c r="Q54" i="33" s="1"/>
  <c r="O108" i="33"/>
  <c r="Q108" i="33" s="1"/>
  <c r="M36" i="33"/>
  <c r="O36" i="33" s="1"/>
  <c r="Q36" i="33" s="1"/>
  <c r="S19" i="33"/>
  <c r="W19" i="33" s="1"/>
  <c r="S44" i="33"/>
  <c r="N115" i="33"/>
  <c r="N116" i="33" s="1"/>
  <c r="M23" i="33"/>
  <c r="S23" i="33" s="1"/>
  <c r="U23" i="33" s="1"/>
  <c r="S35" i="33"/>
  <c r="U35" i="33" s="1"/>
  <c r="U44" i="33"/>
  <c r="S48" i="33"/>
  <c r="U48" i="33" s="1"/>
  <c r="S56" i="33"/>
  <c r="U56" i="33" s="1"/>
  <c r="M67" i="33"/>
  <c r="S67" i="33" s="1"/>
  <c r="U67" i="33" s="1"/>
  <c r="S69" i="33"/>
  <c r="U69" i="33" s="1"/>
  <c r="S102" i="33"/>
  <c r="S79" i="33"/>
  <c r="U79" i="33" s="1"/>
  <c r="M5" i="33"/>
  <c r="M33" i="33"/>
  <c r="O33" i="33" s="1"/>
  <c r="Q33" i="33" s="1"/>
  <c r="P115" i="33"/>
  <c r="P116" i="33" s="1"/>
  <c r="M57" i="33"/>
  <c r="O57" i="33" s="1"/>
  <c r="Q57" i="33" s="1"/>
  <c r="O70" i="33"/>
  <c r="S70" i="33" s="1"/>
  <c r="U70" i="33" s="1"/>
  <c r="Q76" i="33"/>
  <c r="S76" i="33" s="1"/>
  <c r="O103" i="33"/>
  <c r="Q103" i="33" s="1"/>
  <c r="O105" i="33"/>
  <c r="Q105" i="33" s="1"/>
  <c r="M107" i="33"/>
  <c r="O107" i="33" s="1"/>
  <c r="Q107" i="33" s="1"/>
  <c r="Q31" i="33"/>
  <c r="S31" i="33" s="1"/>
  <c r="V31" i="33" s="1"/>
  <c r="M49" i="33"/>
  <c r="O49" i="33" s="1"/>
  <c r="Q49" i="33" s="1"/>
  <c r="M14" i="33"/>
  <c r="O14" i="33" s="1"/>
  <c r="Q14" i="33" s="1"/>
  <c r="M81" i="33"/>
  <c r="O81" i="33" s="1"/>
  <c r="Q81" i="33" s="1"/>
  <c r="S15" i="33"/>
  <c r="U15" i="33" s="1"/>
  <c r="S63" i="33"/>
  <c r="U63" i="33" s="1"/>
  <c r="O93" i="33"/>
  <c r="S93" i="33" s="1"/>
  <c r="U93" i="33" s="1"/>
  <c r="M45" i="33"/>
  <c r="O45" i="33" s="1"/>
  <c r="Q45" i="33" s="1"/>
  <c r="M7" i="33"/>
  <c r="O7" i="33" s="1"/>
  <c r="Q7" i="33" s="1"/>
  <c r="O75" i="33"/>
  <c r="Q75" i="33" s="1"/>
  <c r="M85" i="33"/>
  <c r="O85" i="33" s="1"/>
  <c r="Q85" i="33" s="1"/>
  <c r="Q121" i="33" l="1"/>
  <c r="O121" i="33"/>
  <c r="M121" i="33"/>
  <c r="Q122" i="33"/>
  <c r="T122" i="33" s="1"/>
  <c r="U122" i="33" s="1"/>
  <c r="S6" i="33"/>
  <c r="U6" i="33" s="1"/>
  <c r="S9" i="27"/>
  <c r="U9" i="27" s="1"/>
  <c r="S112" i="33"/>
  <c r="U112" i="33" s="1"/>
  <c r="W50" i="33"/>
  <c r="S123" i="33"/>
  <c r="S57" i="33"/>
  <c r="U57" i="33" s="1"/>
  <c r="S77" i="33"/>
  <c r="U77" i="33" s="1"/>
  <c r="W102" i="33"/>
  <c r="H51" i="32"/>
  <c r="H52" i="32" s="1"/>
  <c r="S108" i="33"/>
  <c r="U108" i="33" s="1"/>
  <c r="S39" i="33"/>
  <c r="U39" i="33" s="1"/>
  <c r="S75" i="33"/>
  <c r="U75" i="33" s="1"/>
  <c r="W75" i="33" s="1"/>
  <c r="S17" i="33"/>
  <c r="U17" i="33" s="1"/>
  <c r="S7" i="33"/>
  <c r="U7" i="33" s="1"/>
  <c r="S54" i="33"/>
  <c r="U54" i="33" s="1"/>
  <c r="S87" i="33"/>
  <c r="U87" i="33" s="1"/>
  <c r="S46" i="33"/>
  <c r="U46" i="33" s="1"/>
  <c r="S81" i="33"/>
  <c r="U81" i="33" s="1"/>
  <c r="S105" i="33"/>
  <c r="U105" i="33" s="1"/>
  <c r="S82" i="33"/>
  <c r="U82" i="33" s="1"/>
  <c r="S12" i="33"/>
  <c r="U12" i="33" s="1"/>
  <c r="S45" i="33"/>
  <c r="U45" i="33" s="1"/>
  <c r="S83" i="33"/>
  <c r="U83" i="33" s="1"/>
  <c r="S49" i="33"/>
  <c r="U49" i="33" s="1"/>
  <c r="S10" i="33"/>
  <c r="U10" i="33" s="1"/>
  <c r="S14" i="33"/>
  <c r="U14" i="33" s="1"/>
  <c r="U76" i="33"/>
  <c r="W76" i="33" s="1"/>
  <c r="S85" i="33"/>
  <c r="U85" i="33" s="1"/>
  <c r="W44" i="33"/>
  <c r="S103" i="33"/>
  <c r="U103" i="33" s="1"/>
  <c r="M115" i="33"/>
  <c r="M116" i="33" s="1"/>
  <c r="O5" i="33"/>
  <c r="S36" i="33"/>
  <c r="U36" i="33" s="1"/>
  <c r="S107" i="33"/>
  <c r="U107" i="33" s="1"/>
  <c r="S33" i="33"/>
  <c r="U33" i="33" s="1"/>
  <c r="S124" i="33" l="1"/>
  <c r="U123" i="33"/>
  <c r="W116" i="33"/>
  <c r="M124" i="33"/>
  <c r="V116" i="33"/>
  <c r="V122" i="33" s="1"/>
  <c r="Q5" i="33"/>
  <c r="O115" i="33"/>
  <c r="O116" i="33" s="1"/>
  <c r="O124" i="33"/>
  <c r="V123" i="33" l="1"/>
  <c r="S8" i="33"/>
  <c r="U8" i="33" s="1"/>
  <c r="T121" i="33"/>
  <c r="U121" i="33" s="1"/>
  <c r="Q115" i="33"/>
  <c r="Q116" i="33" s="1"/>
  <c r="S5" i="33"/>
  <c r="Q124" i="33" l="1"/>
  <c r="T124" i="33" s="1"/>
  <c r="U124" i="33" s="1"/>
  <c r="V124" i="33" s="1"/>
  <c r="S115" i="33"/>
  <c r="S116" i="33" s="1"/>
  <c r="U5" i="33"/>
  <c r="U116" i="33" s="1"/>
  <c r="V121" i="33" s="1"/>
  <c r="Q110" i="29" l="1"/>
  <c r="Q109" i="29"/>
  <c r="Q104" i="29"/>
  <c r="Q102" i="29"/>
  <c r="Q90" i="29"/>
  <c r="P90" i="29"/>
  <c r="O90" i="29"/>
  <c r="N90" i="29"/>
  <c r="Q86" i="29"/>
  <c r="Q82" i="29"/>
  <c r="Q81" i="29"/>
  <c r="Q80" i="29"/>
  <c r="Q79" i="29"/>
  <c r="Q78" i="29"/>
  <c r="Q77" i="29"/>
  <c r="Q76" i="29"/>
  <c r="I75" i="29"/>
  <c r="I73" i="29"/>
  <c r="I72" i="29"/>
  <c r="Q71" i="29"/>
  <c r="Q65" i="29"/>
  <c r="Q63" i="29"/>
  <c r="Q62" i="29"/>
  <c r="Q59" i="29"/>
  <c r="Q56" i="29"/>
  <c r="Q55" i="29"/>
  <c r="I54" i="29"/>
  <c r="Q53" i="29"/>
  <c r="N53" i="29"/>
  <c r="M52" i="29"/>
  <c r="I52" i="29"/>
  <c r="Q46" i="29"/>
  <c r="Q31" i="29"/>
  <c r="Q29" i="29"/>
  <c r="Q28" i="29"/>
  <c r="Q20" i="29"/>
  <c r="Q8" i="29"/>
  <c r="K8" i="27"/>
  <c r="K7" i="27" l="1"/>
  <c r="S114" i="27"/>
  <c r="S112" i="27"/>
  <c r="U112" i="27" s="1"/>
  <c r="S111" i="27"/>
  <c r="S110" i="27"/>
  <c r="S109" i="27"/>
  <c r="S104" i="27"/>
  <c r="U104" i="27" s="1"/>
  <c r="S101" i="27"/>
  <c r="S99" i="27"/>
  <c r="W99" i="27" s="1"/>
  <c r="S98" i="27"/>
  <c r="S97" i="27"/>
  <c r="S96" i="27"/>
  <c r="U96" i="27" s="1"/>
  <c r="S92" i="27"/>
  <c r="S91" i="27"/>
  <c r="S90" i="27"/>
  <c r="S89" i="27"/>
  <c r="S88" i="27"/>
  <c r="S80" i="27"/>
  <c r="S72" i="27"/>
  <c r="U72" i="27" s="1"/>
  <c r="S71" i="27"/>
  <c r="U71" i="27" s="1"/>
  <c r="S68" i="27"/>
  <c r="S66" i="27"/>
  <c r="S64" i="27"/>
  <c r="S61" i="27"/>
  <c r="S60" i="27"/>
  <c r="U60" i="27" s="1"/>
  <c r="S37" i="27"/>
  <c r="S32" i="27"/>
  <c r="S30" i="27"/>
  <c r="S29" i="27"/>
  <c r="S28" i="27"/>
  <c r="S27" i="27"/>
  <c r="S26" i="27"/>
  <c r="S25" i="27"/>
  <c r="S24" i="27"/>
  <c r="S22" i="27"/>
  <c r="S16" i="27"/>
  <c r="S11" i="27"/>
  <c r="U109" i="27" l="1"/>
  <c r="V109" i="27" s="1"/>
  <c r="U22" i="27"/>
  <c r="V22" i="27" s="1"/>
  <c r="K108" i="27" l="1"/>
  <c r="K107" i="27"/>
  <c r="M107" i="27" s="1"/>
  <c r="K106" i="27"/>
  <c r="M105" i="27"/>
  <c r="M103" i="27"/>
  <c r="R102" i="27"/>
  <c r="W101" i="27"/>
  <c r="K100" i="27"/>
  <c r="M100" i="27" s="1"/>
  <c r="W98" i="27"/>
  <c r="U97" i="27"/>
  <c r="M95" i="27"/>
  <c r="O95" i="27" s="1"/>
  <c r="M94" i="27"/>
  <c r="M93" i="27"/>
  <c r="U92" i="27"/>
  <c r="U89" i="27"/>
  <c r="K87" i="27"/>
  <c r="M87" i="27" s="1"/>
  <c r="K86" i="27"/>
  <c r="M86" i="27" s="1"/>
  <c r="K85" i="27"/>
  <c r="M85" i="27" s="1"/>
  <c r="K84" i="27"/>
  <c r="M84" i="27" s="1"/>
  <c r="K83" i="27"/>
  <c r="M83" i="27" s="1"/>
  <c r="K82" i="27"/>
  <c r="M82" i="27" s="1"/>
  <c r="K81" i="27"/>
  <c r="M81" i="27" s="1"/>
  <c r="U80" i="27"/>
  <c r="K79" i="27"/>
  <c r="K78" i="27"/>
  <c r="M78" i="27" s="1"/>
  <c r="K77" i="27"/>
  <c r="M76" i="27"/>
  <c r="M75" i="27"/>
  <c r="M74" i="27"/>
  <c r="M73" i="27"/>
  <c r="M70" i="27"/>
  <c r="K69" i="27"/>
  <c r="M69" i="27" s="1"/>
  <c r="K67" i="27"/>
  <c r="Q65" i="27"/>
  <c r="K65" i="27"/>
  <c r="M65" i="27" s="1"/>
  <c r="U64" i="27"/>
  <c r="M63" i="27"/>
  <c r="M62" i="27"/>
  <c r="U61" i="27"/>
  <c r="M59" i="27"/>
  <c r="M58" i="27"/>
  <c r="K57" i="27"/>
  <c r="M57" i="27" s="1"/>
  <c r="K56" i="27"/>
  <c r="M56" i="27" s="1"/>
  <c r="O55" i="27"/>
  <c r="K55" i="27"/>
  <c r="M55" i="27" s="1"/>
  <c r="K54" i="27"/>
  <c r="Q51" i="27"/>
  <c r="O51" i="27"/>
  <c r="M51" i="27"/>
  <c r="K51" i="27"/>
  <c r="Q50" i="27"/>
  <c r="O50" i="27"/>
  <c r="M50" i="27"/>
  <c r="K50" i="27"/>
  <c r="K49" i="27"/>
  <c r="M49" i="27" s="1"/>
  <c r="K48" i="27"/>
  <c r="K47" i="27"/>
  <c r="M47" i="27" s="1"/>
  <c r="K46" i="27"/>
  <c r="M46" i="27" s="1"/>
  <c r="K45" i="27"/>
  <c r="M45" i="27" s="1"/>
  <c r="K44" i="27"/>
  <c r="M44" i="27" s="1"/>
  <c r="Q43" i="27"/>
  <c r="O43" i="27"/>
  <c r="M43" i="27"/>
  <c r="K43" i="27"/>
  <c r="Q42" i="27"/>
  <c r="O42" i="27"/>
  <c r="M42" i="27"/>
  <c r="K42" i="27"/>
  <c r="Q41" i="27"/>
  <c r="O41" i="27"/>
  <c r="M41" i="27"/>
  <c r="K41" i="27"/>
  <c r="Q40" i="27"/>
  <c r="O40" i="27"/>
  <c r="M40" i="27"/>
  <c r="K40" i="27"/>
  <c r="M39" i="27"/>
  <c r="O39" i="27" s="1"/>
  <c r="M38" i="27"/>
  <c r="K38" i="27"/>
  <c r="V37" i="27"/>
  <c r="K36" i="27"/>
  <c r="M36" i="27" s="1"/>
  <c r="K35" i="27"/>
  <c r="M35" i="27" s="1"/>
  <c r="K34" i="27"/>
  <c r="M34" i="27" s="1"/>
  <c r="L33" i="27"/>
  <c r="L115" i="27" s="1"/>
  <c r="K33" i="27"/>
  <c r="M33" i="27" s="1"/>
  <c r="O31" i="27"/>
  <c r="K23" i="27"/>
  <c r="Q21" i="27"/>
  <c r="M20" i="27"/>
  <c r="R19" i="27"/>
  <c r="Q19" i="27"/>
  <c r="P19" i="27"/>
  <c r="O19" i="27"/>
  <c r="N19" i="27"/>
  <c r="M19" i="27"/>
  <c r="U18" i="27"/>
  <c r="U16" i="27"/>
  <c r="K15" i="27"/>
  <c r="M15" i="27" s="1"/>
  <c r="K14" i="27"/>
  <c r="M14" i="27" s="1"/>
  <c r="K13" i="27"/>
  <c r="M13" i="27" s="1"/>
  <c r="K12" i="27"/>
  <c r="U11" i="27"/>
  <c r="K10" i="27"/>
  <c r="K6" i="27"/>
  <c r="M6" i="27" s="1"/>
  <c r="M5" i="27"/>
  <c r="S38" i="27" l="1"/>
  <c r="S19" i="27"/>
  <c r="W19" i="27" s="1"/>
  <c r="S41" i="27"/>
  <c r="U41" i="27" s="1"/>
  <c r="S50" i="27"/>
  <c r="U50" i="27" s="1"/>
  <c r="S43" i="27"/>
  <c r="U43" i="27" s="1"/>
  <c r="S18" i="27"/>
  <c r="S42" i="27"/>
  <c r="U42" i="27" s="1"/>
  <c r="S102" i="27"/>
  <c r="W102" i="27" s="1"/>
  <c r="S40" i="27"/>
  <c r="U40" i="27" s="1"/>
  <c r="S51" i="27"/>
  <c r="U51" i="27" s="1"/>
  <c r="S106" i="27"/>
  <c r="U106" i="27" s="1"/>
  <c r="S65" i="27"/>
  <c r="U65" i="27" s="1"/>
  <c r="O94" i="27"/>
  <c r="S94" i="27" s="1"/>
  <c r="U94" i="27" s="1"/>
  <c r="O103" i="27"/>
  <c r="Q103" i="27" s="1"/>
  <c r="O63" i="27"/>
  <c r="Q63" i="27" s="1"/>
  <c r="S63" i="27" s="1"/>
  <c r="U63" i="27" s="1"/>
  <c r="O56" i="27"/>
  <c r="Q56" i="27" s="1"/>
  <c r="O76" i="27"/>
  <c r="Q76" i="27" s="1"/>
  <c r="Q95" i="27"/>
  <c r="S95" i="27" s="1"/>
  <c r="U95" i="27" s="1"/>
  <c r="O105" i="27"/>
  <c r="Q105" i="27" s="1"/>
  <c r="O15" i="27"/>
  <c r="Q15" i="27" s="1"/>
  <c r="O34" i="27"/>
  <c r="Q34" i="27" s="1"/>
  <c r="O57" i="27"/>
  <c r="Q57" i="27" s="1"/>
  <c r="O85" i="27"/>
  <c r="Q85" i="27" s="1"/>
  <c r="O13" i="27"/>
  <c r="Q13" i="27" s="1"/>
  <c r="O14" i="27"/>
  <c r="Q14" i="27" s="1"/>
  <c r="O5" i="27"/>
  <c r="Q5" i="27" s="1"/>
  <c r="S20" i="27"/>
  <c r="U20" i="27" s="1"/>
  <c r="O58" i="27"/>
  <c r="Q58" i="27" s="1"/>
  <c r="O78" i="27"/>
  <c r="Q78" i="27" s="1"/>
  <c r="O86" i="27"/>
  <c r="Q86" i="27" s="1"/>
  <c r="O62" i="27"/>
  <c r="Q62" i="27" s="1"/>
  <c r="O6" i="27"/>
  <c r="Q6" i="27" s="1"/>
  <c r="O36" i="27"/>
  <c r="Q36" i="27" s="1"/>
  <c r="O59" i="27"/>
  <c r="Q59" i="27" s="1"/>
  <c r="O69" i="27"/>
  <c r="Q69" i="27" s="1"/>
  <c r="O107" i="27"/>
  <c r="Q107" i="27" s="1"/>
  <c r="O33" i="27"/>
  <c r="Q33" i="27" s="1"/>
  <c r="M10" i="27"/>
  <c r="O10" i="27" s="1"/>
  <c r="Q10" i="27" s="1"/>
  <c r="S21" i="27"/>
  <c r="V21" i="27" s="1"/>
  <c r="O70" i="27"/>
  <c r="S70" i="27" s="1"/>
  <c r="S100" i="27"/>
  <c r="U100" i="27" s="1"/>
  <c r="S17" i="27"/>
  <c r="U38" i="27"/>
  <c r="O44" i="27"/>
  <c r="Q44" i="27" s="1"/>
  <c r="O83" i="27"/>
  <c r="Q83" i="27" s="1"/>
  <c r="O87" i="27"/>
  <c r="Q87" i="27" s="1"/>
  <c r="O45" i="27"/>
  <c r="Q45" i="27" s="1"/>
  <c r="O49" i="27"/>
  <c r="Q49" i="27" s="1"/>
  <c r="O75" i="27"/>
  <c r="Q75" i="27" s="1"/>
  <c r="O81" i="27"/>
  <c r="Q81" i="27" s="1"/>
  <c r="O84" i="27"/>
  <c r="Q84" i="27" s="1"/>
  <c r="O47" i="27"/>
  <c r="Q47" i="27" s="1"/>
  <c r="O46" i="27"/>
  <c r="Q46" i="27" s="1"/>
  <c r="O82" i="27"/>
  <c r="Q82" i="27" s="1"/>
  <c r="Q39" i="27"/>
  <c r="O35" i="27"/>
  <c r="Q35" i="27" s="1"/>
  <c r="Q31" i="27"/>
  <c r="Q55" i="27"/>
  <c r="S55" i="27" s="1"/>
  <c r="O73" i="27"/>
  <c r="M12" i="27"/>
  <c r="M7" i="27"/>
  <c r="M54" i="27"/>
  <c r="M67" i="27"/>
  <c r="M108" i="27"/>
  <c r="N115" i="27"/>
  <c r="R115" i="27"/>
  <c r="M23" i="27"/>
  <c r="M48" i="27"/>
  <c r="M77" i="27"/>
  <c r="M79" i="27"/>
  <c r="O93" i="27"/>
  <c r="O74" i="27"/>
  <c r="P115" i="27"/>
  <c r="W51" i="27" l="1"/>
  <c r="S13" i="27"/>
  <c r="U13" i="27" s="1"/>
  <c r="S85" i="27"/>
  <c r="U85" i="27" s="1"/>
  <c r="S59" i="27"/>
  <c r="U59" i="27" s="1"/>
  <c r="S103" i="27"/>
  <c r="U103" i="27" s="1"/>
  <c r="S5" i="27"/>
  <c r="U5" i="27" s="1"/>
  <c r="S33" i="27"/>
  <c r="U33" i="27" s="1"/>
  <c r="S81" i="27"/>
  <c r="S105" i="27"/>
  <c r="U105" i="27" s="1"/>
  <c r="S78" i="27"/>
  <c r="U78" i="27" s="1"/>
  <c r="S36" i="27"/>
  <c r="U36" i="27" s="1"/>
  <c r="S45" i="27"/>
  <c r="U45" i="27" s="1"/>
  <c r="O79" i="27"/>
  <c r="Q79" i="27" s="1"/>
  <c r="O12" i="27"/>
  <c r="Q12" i="27" s="1"/>
  <c r="S87" i="27"/>
  <c r="U87" i="27" s="1"/>
  <c r="S75" i="27"/>
  <c r="U75" i="27" s="1"/>
  <c r="O7" i="27"/>
  <c r="Q7" i="27" s="1"/>
  <c r="O77" i="27"/>
  <c r="Q77" i="27" s="1"/>
  <c r="S10" i="27"/>
  <c r="U10" i="27" s="1"/>
  <c r="S69" i="27"/>
  <c r="U69" i="27" s="1"/>
  <c r="S6" i="27"/>
  <c r="U6" i="27" s="1"/>
  <c r="S47" i="27"/>
  <c r="U47" i="27" s="1"/>
  <c r="O108" i="27"/>
  <c r="Q108" i="27" s="1"/>
  <c r="S58" i="27"/>
  <c r="U58" i="27" s="1"/>
  <c r="S14" i="27"/>
  <c r="U14" i="27" s="1"/>
  <c r="S57" i="27"/>
  <c r="U57" i="27" s="1"/>
  <c r="S31" i="27"/>
  <c r="V31" i="27" s="1"/>
  <c r="V115" i="27" s="1"/>
  <c r="S35" i="27"/>
  <c r="U35" i="27" s="1"/>
  <c r="O54" i="27"/>
  <c r="Q54" i="27" s="1"/>
  <c r="S54" i="27" s="1"/>
  <c r="U54" i="27" s="1"/>
  <c r="M8" i="27"/>
  <c r="O8" i="27" s="1"/>
  <c r="Q8" i="27" s="1"/>
  <c r="S62" i="27"/>
  <c r="U62" i="27" s="1"/>
  <c r="S49" i="27"/>
  <c r="U49" i="27" s="1"/>
  <c r="S46" i="27"/>
  <c r="U46" i="27" s="1"/>
  <c r="S34" i="27"/>
  <c r="U34" i="27" s="1"/>
  <c r="S76" i="27"/>
  <c r="U76" i="27" s="1"/>
  <c r="S83" i="27"/>
  <c r="U70" i="27"/>
  <c r="S84" i="27"/>
  <c r="S93" i="27"/>
  <c r="U93" i="27" s="1"/>
  <c r="S23" i="27"/>
  <c r="U23" i="27" s="1"/>
  <c r="S67" i="27"/>
  <c r="U67" i="27" s="1"/>
  <c r="S44" i="27"/>
  <c r="U44" i="27" s="1"/>
  <c r="S107" i="27"/>
  <c r="U107" i="27" s="1"/>
  <c r="S86" i="27"/>
  <c r="U86" i="27" s="1"/>
  <c r="S15" i="27"/>
  <c r="U15" i="27" s="1"/>
  <c r="S56" i="27"/>
  <c r="U56" i="27" s="1"/>
  <c r="S39" i="27"/>
  <c r="U39" i="27" s="1"/>
  <c r="S82" i="27"/>
  <c r="U84" i="27"/>
  <c r="K115" i="27"/>
  <c r="U83" i="27"/>
  <c r="W50" i="27"/>
  <c r="U82" i="27"/>
  <c r="U81" i="27"/>
  <c r="O48" i="27"/>
  <c r="Q48" i="27" s="1"/>
  <c r="U55" i="27"/>
  <c r="Q73" i="27"/>
  <c r="S73" i="27" s="1"/>
  <c r="U73" i="27" s="1"/>
  <c r="Q74" i="27"/>
  <c r="S74" i="27" s="1"/>
  <c r="U74" i="27" s="1"/>
  <c r="S7" i="27" l="1"/>
  <c r="U7" i="27" s="1"/>
  <c r="W76" i="27"/>
  <c r="S77" i="27"/>
  <c r="U77" i="27" s="1"/>
  <c r="S79" i="27"/>
  <c r="U79" i="27" s="1"/>
  <c r="W44" i="27"/>
  <c r="S12" i="27"/>
  <c r="U12" i="27" s="1"/>
  <c r="M115" i="27"/>
  <c r="S48" i="27"/>
  <c r="U48" i="27" s="1"/>
  <c r="S108" i="27"/>
  <c r="U108" i="27" s="1"/>
  <c r="S8" i="27"/>
  <c r="U8" i="27" s="1"/>
  <c r="W46" i="27"/>
  <c r="W84" i="27"/>
  <c r="W83" i="27"/>
  <c r="W87" i="27"/>
  <c r="W82" i="27"/>
  <c r="W45" i="27"/>
  <c r="W47" i="27"/>
  <c r="W75" i="27"/>
  <c r="W49" i="27"/>
  <c r="W81" i="27"/>
  <c r="W73" i="27"/>
  <c r="O115" i="27"/>
  <c r="W74" i="27"/>
  <c r="Q115" i="27"/>
  <c r="U115" i="27" l="1"/>
  <c r="S115" i="27"/>
  <c r="W18" i="27"/>
  <c r="W48" i="27"/>
  <c r="W115" i="27" l="1"/>
  <c r="M4" i="12"/>
  <c r="M5" i="12"/>
  <c r="M6" i="12"/>
  <c r="M7" i="12"/>
  <c r="M8" i="12"/>
  <c r="M9" i="12"/>
  <c r="M10" i="12"/>
  <c r="L5" i="12"/>
  <c r="L6" i="12"/>
  <c r="L7" i="12"/>
  <c r="L8" i="12"/>
  <c r="L9" i="12"/>
  <c r="L10" i="12"/>
  <c r="L4" i="12"/>
  <c r="G11" i="12"/>
  <c r="J11" i="12"/>
  <c r="K11" i="12"/>
  <c r="H11" i="12"/>
  <c r="F11" i="12"/>
  <c r="E11" i="12"/>
  <c r="D11" i="12"/>
  <c r="I11" i="12"/>
  <c r="M11" i="12" l="1"/>
  <c r="L11" i="12"/>
  <c r="F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Crespo</author>
  </authors>
  <commentList>
    <comment ref="E143" authorId="0" shapeId="0" xr:uid="{00000000-0006-0000-0200-000001000000}">
      <text>
        <r>
          <rPr>
            <b/>
            <sz val="10"/>
            <color rgb="FF000000"/>
            <rFont val="Tahoma"/>
            <family val="2"/>
          </rPr>
          <t>Jennifer Crespo:</t>
        </r>
        <r>
          <rPr>
            <sz val="10"/>
            <color rgb="FF000000"/>
            <rFont val="Tahoma"/>
            <family val="2"/>
          </rPr>
          <t xml:space="preserve">
</t>
        </r>
        <r>
          <rPr>
            <sz val="10"/>
            <color rgb="FF000000"/>
            <rFont val="Tahoma"/>
            <family val="2"/>
          </rPr>
          <t>PENDIENTE ACTUALIZAR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Crespo</author>
  </authors>
  <commentList>
    <comment ref="E143" authorId="0" shapeId="0" xr:uid="{00000000-0006-0000-0400-000001000000}">
      <text>
        <r>
          <rPr>
            <b/>
            <sz val="10"/>
            <color rgb="FF000000"/>
            <rFont val="Tahoma"/>
            <family val="2"/>
          </rPr>
          <t>Jennifer Crespo:</t>
        </r>
        <r>
          <rPr>
            <sz val="10"/>
            <color rgb="FF000000"/>
            <rFont val="Tahoma"/>
            <family val="2"/>
          </rPr>
          <t xml:space="preserve">
</t>
        </r>
        <r>
          <rPr>
            <sz val="10"/>
            <color rgb="FF000000"/>
            <rFont val="Tahoma"/>
            <family val="2"/>
          </rPr>
          <t>PENDIENTE ACTUALIZAR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Crespo</author>
  </authors>
  <commentList>
    <comment ref="L8" authorId="0" shapeId="0" xr:uid="{00000000-0006-0000-0600-000001000000}">
      <text>
        <r>
          <rPr>
            <b/>
            <sz val="10"/>
            <color rgb="FF000000"/>
            <rFont val="Tahoma"/>
            <family val="2"/>
          </rPr>
          <t>Jennifer Crespo:</t>
        </r>
        <r>
          <rPr>
            <sz val="10"/>
            <color rgb="FF000000"/>
            <rFont val="Tahoma"/>
            <family val="2"/>
          </rPr>
          <t xml:space="preserve">
</t>
        </r>
        <r>
          <rPr>
            <sz val="10"/>
            <color rgb="FF000000"/>
            <rFont val="Tahoma"/>
            <family val="2"/>
          </rPr>
          <t>El lineamiento 5.7es compartido  se deja para adicional en 3 y 4 para PED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Marlon Guevara</author>
  </authors>
  <commentList>
    <comment ref="N60" authorId="0" shapeId="0" xr:uid="{00000000-0006-0000-0700-000001000000}">
      <text>
        <r>
          <rPr>
            <sz val="11"/>
            <color rgb="FF000000"/>
            <rFont val="Calibri"/>
            <family val="2"/>
          </rPr>
          <t xml:space="preserve">modulo de historias clínicas
</t>
        </r>
        <r>
          <rPr>
            <sz val="11"/>
            <color rgb="FF000000"/>
            <rFont val="Calibri"/>
            <family val="2"/>
          </rPr>
          <t>======</t>
        </r>
      </text>
    </comment>
    <comment ref="J78" authorId="1" shapeId="0" xr:uid="{00000000-0006-0000-0700-000002000000}">
      <text>
        <r>
          <rPr>
            <b/>
            <sz val="9"/>
            <color indexed="81"/>
            <rFont val="Tahoma"/>
            <family val="2"/>
          </rPr>
          <t xml:space="preserve">Marlon Guevara:
</t>
        </r>
        <r>
          <rPr>
            <sz val="9"/>
            <color indexed="81"/>
            <rFont val="Tahoma"/>
            <family val="2"/>
          </rPr>
          <t xml:space="preserve">
De acuerdo con la programación de la meta, se tardaría cuatro años este ejercicio ¿tiene sentido esto?</t>
        </r>
      </text>
    </comment>
    <comment ref="N78" authorId="1" shapeId="0" xr:uid="{00000000-0006-0000-0700-000003000000}">
      <text>
        <r>
          <rPr>
            <b/>
            <sz val="9"/>
            <color rgb="FF000000"/>
            <rFont val="Tahoma"/>
            <family val="2"/>
          </rPr>
          <t>Marlon Guevara:</t>
        </r>
        <r>
          <rPr>
            <sz val="9"/>
            <color rgb="FF000000"/>
            <rFont val="Tahoma"/>
            <family val="2"/>
          </rPr>
          <t xml:space="preserve">
</t>
        </r>
        <r>
          <rPr>
            <sz val="9"/>
            <color rgb="FF000000"/>
            <rFont val="Tahoma"/>
            <family val="2"/>
          </rPr>
          <t>¿La población tardará cuatro años en caracterizarse o se hará de manera anual?</t>
        </r>
      </text>
    </comment>
    <comment ref="I79" authorId="1" shapeId="0" xr:uid="{00000000-0006-0000-0700-000004000000}">
      <text>
        <r>
          <rPr>
            <b/>
            <sz val="9"/>
            <color indexed="81"/>
            <rFont val="Tahoma"/>
            <family val="2"/>
          </rPr>
          <t>Marlon Guevara:</t>
        </r>
        <r>
          <rPr>
            <sz val="9"/>
            <color indexed="81"/>
            <rFont val="Tahoma"/>
            <family val="2"/>
          </rPr>
          <t xml:space="preserve">
¿Cuál es la apuesta de esta administración? Actualmente existen 3 posgrados en dicha modalidad
</t>
        </r>
      </text>
    </comment>
    <comment ref="J80" authorId="1" shapeId="0" xr:uid="{00000000-0006-0000-0700-000005000000}">
      <text>
        <r>
          <rPr>
            <b/>
            <sz val="9"/>
            <color rgb="FF000000"/>
            <rFont val="Tahoma"/>
            <family val="2"/>
          </rPr>
          <t xml:space="preserve">Marlon Guevara:
</t>
        </r>
        <r>
          <rPr>
            <b/>
            <sz val="9"/>
            <color rgb="FF000000"/>
            <rFont val="Tahoma"/>
            <family val="2"/>
          </rPr>
          <t xml:space="preserve">
</t>
        </r>
        <r>
          <rPr>
            <sz val="9"/>
            <color rgb="FF000000"/>
            <rFont val="Tahoma"/>
            <family val="2"/>
          </rPr>
          <t xml:space="preserve">La meta debe establecer el denominador asociado a cada indicador, de lo contrario siempre será 100%. </t>
        </r>
      </text>
    </comment>
    <comment ref="I84" authorId="1" shapeId="0" xr:uid="{00000000-0006-0000-0700-000006000000}">
      <text>
        <r>
          <rPr>
            <b/>
            <sz val="9"/>
            <color indexed="81"/>
            <rFont val="Tahoma"/>
            <family val="2"/>
          </rPr>
          <t xml:space="preserve">Marlon Guevara:
</t>
        </r>
        <r>
          <rPr>
            <sz val="9"/>
            <color indexed="81"/>
            <rFont val="Tahoma"/>
            <family val="2"/>
          </rPr>
          <t>¿quién definió estas metas, son alcanzables, quién desarrollaría los procesos?</t>
        </r>
      </text>
    </comment>
    <comment ref="H101" authorId="1" shapeId="0" xr:uid="{00000000-0006-0000-0700-000007000000}">
      <text>
        <r>
          <rPr>
            <b/>
            <sz val="9"/>
            <color indexed="81"/>
            <rFont val="Tahoma"/>
            <family val="2"/>
          </rPr>
          <t>Marlon Guevara:</t>
        </r>
        <r>
          <rPr>
            <sz val="9"/>
            <color indexed="81"/>
            <rFont val="Tahoma"/>
            <family val="2"/>
          </rPr>
          <t xml:space="preserve">
Evaluar la conveniencia de esta acción pues es MUY ambiciona, valdría mas de 600 mil millones de pesos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Marlon Guevara</author>
    <author>usuario</author>
  </authors>
  <commentList>
    <comment ref="K15" authorId="0" shapeId="0" xr:uid="{00000000-0006-0000-0800-000001000000}">
      <text>
        <r>
          <rPr>
            <b/>
            <sz val="9"/>
            <color indexed="81"/>
            <rFont val="Tahoma"/>
            <family val="2"/>
          </rPr>
          <t>Marlon Guevara:</t>
        </r>
        <r>
          <rPr>
            <sz val="9"/>
            <color indexed="81"/>
            <rFont val="Tahoma"/>
            <family val="2"/>
          </rPr>
          <t xml:space="preserve">
Preguntar a Miguel Jara</t>
        </r>
      </text>
    </comment>
    <comment ref="T16" authorId="1" shapeId="0" xr:uid="{00000000-0006-0000-0800-000002000000}">
      <text>
        <r>
          <rPr>
            <sz val="9"/>
            <color indexed="81"/>
            <rFont val="Tahoma"/>
            <family val="2"/>
          </rPr>
          <t>Anexo Alternativas de financiación nuevas plazas docentes</t>
        </r>
      </text>
    </comment>
    <comment ref="T19" authorId="1" shapeId="0" xr:uid="{00000000-0006-0000-0800-000003000000}">
      <text>
        <r>
          <rPr>
            <sz val="9"/>
            <color indexed="81"/>
            <rFont val="Tahoma"/>
            <family val="2"/>
          </rPr>
          <t>Anexo Concepto de viabilidad financiera</t>
        </r>
      </text>
    </comment>
    <comment ref="I79" authorId="0" shapeId="0" xr:uid="{00000000-0006-0000-0800-000004000000}">
      <text>
        <r>
          <rPr>
            <b/>
            <sz val="9"/>
            <color indexed="81"/>
            <rFont val="Tahoma"/>
            <family val="2"/>
          </rPr>
          <t xml:space="preserve">Marlon Guevara:
</t>
        </r>
        <r>
          <rPr>
            <sz val="9"/>
            <color indexed="81"/>
            <rFont val="Tahoma"/>
            <family val="2"/>
          </rPr>
          <t xml:space="preserve">
De acuerdo con la programación de la meta, se tardaría cuatro años este ejercicio ¿tiene sentido esto?</t>
        </r>
      </text>
    </comment>
    <comment ref="J80" authorId="0" shapeId="0" xr:uid="{00000000-0006-0000-0800-000005000000}">
      <text>
        <r>
          <rPr>
            <b/>
            <sz val="9"/>
            <color indexed="81"/>
            <rFont val="Tahoma"/>
            <family val="2"/>
          </rPr>
          <t>Marlon Guevara:</t>
        </r>
        <r>
          <rPr>
            <sz val="9"/>
            <color indexed="81"/>
            <rFont val="Tahoma"/>
            <family val="2"/>
          </rPr>
          <t xml:space="preserve">
¿Cuál es la apuesta de esta administración? Actualmente existen 3 posgrados en dicha modalidad
</t>
        </r>
      </text>
    </comment>
    <comment ref="I81" authorId="0" shapeId="0" xr:uid="{00000000-0006-0000-0800-000006000000}">
      <text>
        <r>
          <rPr>
            <b/>
            <sz val="9"/>
            <color rgb="FF000000"/>
            <rFont val="Tahoma"/>
            <family val="2"/>
          </rPr>
          <t xml:space="preserve">Marlon Guevara:
</t>
        </r>
        <r>
          <rPr>
            <b/>
            <sz val="9"/>
            <color rgb="FF000000"/>
            <rFont val="Tahoma"/>
            <family val="2"/>
          </rPr>
          <t xml:space="preserve">
</t>
        </r>
        <r>
          <rPr>
            <sz val="9"/>
            <color rgb="FF000000"/>
            <rFont val="Tahoma"/>
            <family val="2"/>
          </rPr>
          <t xml:space="preserve">La meta debe establecer el denominador asociado a cada indicador, de lo contrario siempre será 100%. </t>
        </r>
      </text>
    </comment>
    <comment ref="T85" authorId="0" shapeId="0" xr:uid="{00000000-0006-0000-0800-000007000000}">
      <text>
        <r>
          <rPr>
            <b/>
            <sz val="9"/>
            <color indexed="81"/>
            <rFont val="Tahoma"/>
            <family val="2"/>
          </rPr>
          <t>Marlon Guevara:</t>
        </r>
        <r>
          <rPr>
            <sz val="9"/>
            <color indexed="81"/>
            <rFont val="Tahoma"/>
            <family val="2"/>
          </rPr>
          <t xml:space="preserve">
MAL COSTEADO
</t>
        </r>
      </text>
    </comment>
    <comment ref="H102" authorId="0" shapeId="0" xr:uid="{00000000-0006-0000-0800-000008000000}">
      <text>
        <r>
          <rPr>
            <b/>
            <sz val="9"/>
            <color indexed="81"/>
            <rFont val="Tahoma"/>
            <family val="2"/>
          </rPr>
          <t>Marlon Guevara:</t>
        </r>
        <r>
          <rPr>
            <sz val="9"/>
            <color indexed="81"/>
            <rFont val="Tahoma"/>
            <family val="2"/>
          </rPr>
          <t xml:space="preserve">
Evaluar la conveniencia de esta acción pues es MUY ambiciona, valdría mas de 600 mil millones de pesos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Marlon Guevara</author>
    <author>usuario</author>
  </authors>
  <commentList>
    <comment ref="K15" authorId="0" shapeId="0" xr:uid="{00000000-0006-0000-0900-000001000000}">
      <text>
        <r>
          <rPr>
            <b/>
            <sz val="9"/>
            <color indexed="81"/>
            <rFont val="Tahoma"/>
            <family val="2"/>
          </rPr>
          <t>Marlon Guevara:</t>
        </r>
        <r>
          <rPr>
            <sz val="9"/>
            <color indexed="81"/>
            <rFont val="Tahoma"/>
            <family val="2"/>
          </rPr>
          <t xml:space="preserve">
Preguntar a Miguel Jara</t>
        </r>
      </text>
    </comment>
    <comment ref="T16" authorId="1" shapeId="0" xr:uid="{00000000-0006-0000-0900-000002000000}">
      <text>
        <r>
          <rPr>
            <sz val="9"/>
            <color indexed="81"/>
            <rFont val="Tahoma"/>
            <family val="2"/>
          </rPr>
          <t>Anexo Alternativas de financiación nuevas plazas docentes</t>
        </r>
      </text>
    </comment>
    <comment ref="T19" authorId="1" shapeId="0" xr:uid="{00000000-0006-0000-0900-000003000000}">
      <text>
        <r>
          <rPr>
            <sz val="9"/>
            <color indexed="81"/>
            <rFont val="Tahoma"/>
            <family val="2"/>
          </rPr>
          <t>Anexo Concepto de viabilidad financiera</t>
        </r>
      </text>
    </comment>
    <comment ref="I79" authorId="0" shapeId="0" xr:uid="{00000000-0006-0000-0900-000004000000}">
      <text>
        <r>
          <rPr>
            <b/>
            <sz val="9"/>
            <color indexed="81"/>
            <rFont val="Tahoma"/>
            <family val="2"/>
          </rPr>
          <t xml:space="preserve">Marlon Guevara:
</t>
        </r>
        <r>
          <rPr>
            <sz val="9"/>
            <color indexed="81"/>
            <rFont val="Tahoma"/>
            <family val="2"/>
          </rPr>
          <t xml:space="preserve">
De acuerdo con la programación de la meta, se tardaría cuatro años este ejercicio ¿tiene sentido esto?</t>
        </r>
      </text>
    </comment>
    <comment ref="J80" authorId="0" shapeId="0" xr:uid="{00000000-0006-0000-0900-000005000000}">
      <text>
        <r>
          <rPr>
            <b/>
            <sz val="9"/>
            <color indexed="81"/>
            <rFont val="Tahoma"/>
            <family val="2"/>
          </rPr>
          <t>Marlon Guevara:</t>
        </r>
        <r>
          <rPr>
            <sz val="9"/>
            <color indexed="81"/>
            <rFont val="Tahoma"/>
            <family val="2"/>
          </rPr>
          <t xml:space="preserve">
¿Cuál es la apuesta de esta administración? Actualmente existen 3 posgrados en dicha modalidad
</t>
        </r>
      </text>
    </comment>
    <comment ref="I81" authorId="0" shapeId="0" xr:uid="{00000000-0006-0000-0900-000006000000}">
      <text>
        <r>
          <rPr>
            <b/>
            <sz val="9"/>
            <color rgb="FF000000"/>
            <rFont val="Tahoma"/>
            <family val="2"/>
          </rPr>
          <t xml:space="preserve">Marlon Guevara:
</t>
        </r>
        <r>
          <rPr>
            <b/>
            <sz val="9"/>
            <color rgb="FF000000"/>
            <rFont val="Tahoma"/>
            <family val="2"/>
          </rPr>
          <t xml:space="preserve">
</t>
        </r>
        <r>
          <rPr>
            <sz val="9"/>
            <color rgb="FF000000"/>
            <rFont val="Tahoma"/>
            <family val="2"/>
          </rPr>
          <t xml:space="preserve">La meta debe establecer el denominador asociado a cada indicador, de lo contrario siempre será 100%. </t>
        </r>
      </text>
    </comment>
    <comment ref="H102" authorId="0" shapeId="0" xr:uid="{00000000-0006-0000-0900-000007000000}">
      <text>
        <r>
          <rPr>
            <b/>
            <sz val="9"/>
            <color indexed="81"/>
            <rFont val="Tahoma"/>
            <family val="2"/>
          </rPr>
          <t>Marlon Guevara:</t>
        </r>
        <r>
          <rPr>
            <sz val="9"/>
            <color indexed="81"/>
            <rFont val="Tahoma"/>
            <family val="2"/>
          </rPr>
          <t xml:space="preserve">
Evaluar la conveniencia de esta acción pues es MUY ambiciona, valdría mas de 600 mil millones de pesos
</t>
        </r>
      </text>
    </comment>
  </commentList>
</comments>
</file>

<file path=xl/sharedStrings.xml><?xml version="1.0" encoding="utf-8"?>
<sst xmlns="http://schemas.openxmlformats.org/spreadsheetml/2006/main" count="5437" uniqueCount="1522">
  <si>
    <t>Formar ciudadanos, profesionales, investigadores, creadores e innovadores, íntegros con pensamiento crítico y cultura democrática, en contextos diferenciados inter y multiculturales para la transformación de la sociedad.</t>
  </si>
  <si>
    <t>Metas</t>
  </si>
  <si>
    <t>Estrategias</t>
  </si>
  <si>
    <t>1. Mantener y elevar la acreditación institucional de alta calidad y alcanzar el reconocimiento internacional.</t>
  </si>
  <si>
    <t>2. Aumentar el 34% en el número de estudiantes de pregrado matriculados.</t>
  </si>
  <si>
    <t>3. Aumentar el 65% de estudiantes matriculados en posgrado.</t>
  </si>
  <si>
    <t>4. Aumentar en 28% el número de programas en todos los niveles y modalidades.</t>
  </si>
  <si>
    <t>5. Lograr homologación y transferencia del 100% de la oferta académica de la Universidad entre sus diferentes niveles de formación.</t>
  </si>
  <si>
    <t>6. Lograr que los proyectos de extensión respondan a la interacción entre las problemáticas del entorno y los procesos de investigación, y que sus resultados vinculen e impacten comunidades de la ciudad y la región.</t>
  </si>
  <si>
    <t>8. Lograr que 20% de la oferta académica de pregrado y posgrado permita la doble titulación o cotitulación.</t>
  </si>
  <si>
    <t>9. Aumentar el índice de movilidad internacional anual mínimo al 1,3% de la población estudiantil.</t>
  </si>
  <si>
    <t>12. Apoyar a estudiantes de los colegios distritales ubicados en el área de influencia de las sedes de la Universidad, con programas de fortalecimiento de competencias básicas en: matemáticas, ciencias naturales, lectura crítica e inglés.</t>
  </si>
  <si>
    <t>14. Modernizar la organización académica y administrativa de la institución.</t>
  </si>
  <si>
    <t>Difusión y apropiación del Proyecto Universitario Institucional.</t>
  </si>
  <si>
    <t>Desarrollar de manera permanente procesos de autoevaluación que se traduzcan en planes de mejoramiento continuo.</t>
  </si>
  <si>
    <t>Elevar el nivel de desempeño de los estudiantes en las pruebas Saber Pro.</t>
  </si>
  <si>
    <t>Adopción de mecanismos que permitan mayor equidad y disminución de las diferencias en las condiciones laborales de los docentes.</t>
  </si>
  <si>
    <t>Lineamiento Estratégico 1</t>
  </si>
  <si>
    <t>Consolidación de una oferta académica flexible que articule todas las metodologías de enseñanza, los niveles y los campos de formación, permitiendo el aumento y fortalecimiento de la oferta existente, articulada con la educación básica, media y superior.</t>
  </si>
  <si>
    <t>Consolidación y aumento de una oferta académica flexible que articule los diferentes niveles de formación desde el nivel básico hasta el superior.</t>
  </si>
  <si>
    <t>Gestión de proyectos que promuevan la investigación y la proyección social como instrumentos de articulación de la universidad con la sociedad.</t>
  </si>
  <si>
    <t>Promoción de encuentros y articulación con el sector productivo a fin de responder a sus demandas y generar sinergia en la difusión y apropiación del conocimiento.</t>
  </si>
  <si>
    <t>Gestión y consolidación de relaciones nacionales e internacionales para fortalecer el intercambio académico, investigativo, de creación e innovación.</t>
  </si>
  <si>
    <t>Establecer y desarrollar un modelo de homologación y equivalencias entre los diferentes programas y las normas que lo reglamenten.</t>
  </si>
  <si>
    <t>Promover y consolidar convenios con universidades internacionales e incrementar los intercambios de estudiantes y docentes.</t>
  </si>
  <si>
    <t>Desarrollar y fortalecer la participación de la universidad en el desarrollo del sistema educativo distrital.</t>
  </si>
  <si>
    <t>Articulación con autoridades del Sector Educativo, los colegios y sus estamentos, la comunidad y los sectores económicos, con el fin de evaluar, articular y consolidar los objetivos educacionales y los procesos de formación en investigación, creación, innovación y emprendimiento, para fomentar la comprensión y solución de problemas y la potenciación de capacidades hacia la transformación de la sociedad.</t>
  </si>
  <si>
    <t>Estudio sobre el impacto de la articulación con el Sector Educativo Distrital en el acceso, la permanencia y la titulación.</t>
  </si>
  <si>
    <t>Fortalecimiento y creación de programas que fomenten la inclusión, la permanencia, la retención y la graduación.</t>
  </si>
  <si>
    <t>Desarrollo del Sistema de Bienestar universitario integral, que mejore las condiciones de los miembros de la comunidad universitaria, con altos estándares de calidad.</t>
  </si>
  <si>
    <t>Promoción de la comprensión y el análisis sobre las condiciones, creencias y alternativas de proyección de los intereses de los estudiantes sobre su futuro, su situación socioeconómica y la visión que les ofrece la Universidad.</t>
  </si>
  <si>
    <t>Disponer de manera funcional y jerarquizada un orden adecuado de relaciones entre las facultades, las escuelas y los programas académicos, de acuerdo con el Estatuto General.</t>
  </si>
  <si>
    <t>Lineamiento Estratégico 2</t>
  </si>
  <si>
    <t>Establecer un diseño curricular dinámico y flexible que promueva el pluralismo y consolide una comunidad universitaria crítica-transformadora y en armonía ambiental.</t>
  </si>
  <si>
    <t>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t>
  </si>
  <si>
    <t>Estructuración de metodologías y estrategias de enseñanza - aprendizaje que favorezcan la construcción y resolución de situaciones problemáticas.</t>
  </si>
  <si>
    <t>Construcción e implementación de una reforma curricular participativa, integral y flexible que fomente la integración de las funciones universitarias y los campos, articule los niveles de formación y promueva la internacionalización de los planes de estudios.</t>
  </si>
  <si>
    <t>15. Evaluar, revisar y reformular la oferta curricular de pregrado y posgrado de cada facultad, en el marco de los procesos de autoevaluación continua y los proyectos educativos de las facultades.</t>
  </si>
  <si>
    <t>Desarrollo de programas e incentivos que favorezcan mejorar los índices de permanencia y repitencia.</t>
  </si>
  <si>
    <t>Promoción de alternativas académicas que diversifiquen las modalidades de trabajos de grado.</t>
  </si>
  <si>
    <t>Adoptar y desarrollar un programa de admisión y permanencia que permita un tránsito flexible en la malla curricular y las posibilidades de titulación, cotitulación y doble titulación.</t>
  </si>
  <si>
    <t>Fortalecimiento de un modelo de formación docente continuo, que permita fomentar las dimensiones pedagógicas, didácticas, profesionales y humanas y los procesos de innovación pedagógica.</t>
  </si>
  <si>
    <t>Consolidación de una evaluación integral del currículo que permita el diseño, implementación, seguimiento y retroalimentación del mismo, promueva la pertinencia social de los programas académicos, la formación integral de personas en situación de discapacidad, la especialización docente en nuevas metodologías y modalidades de enseñanza-aprendizaje; y propicie el aumento en la atención cualificada de poblaciones académicas especificas.</t>
  </si>
  <si>
    <t>Construcción de una política cultural universitaria que propenda la diversidad de las expresiones artísticas, culturales, deportivas y el desarrollo de la pertenencia institucional.</t>
  </si>
  <si>
    <t>Construcción de una cultura organizacional universitaria basada en la solidaridad y el respeto por lo público que permita promover la transparencia, la ética y la responsabilidad colectiva en el marco de la autonomía universitaria.</t>
  </si>
  <si>
    <t>Crear un sistema de evaluación de los servicios de bienestar universitario.</t>
  </si>
  <si>
    <t>17. Alcanzar una cobertura  en el 70 % de los docentes en el manejo de tecnologías de la información y comunicación.</t>
  </si>
  <si>
    <t>19. Lograr el 90% de satisfacción entre los miembros de la comunidad universitaria frente a las expectativas del bienestar estudiantil y los programas que desde allí se ofrezcan.</t>
  </si>
  <si>
    <t>Lineamiento Estratégico 3</t>
  </si>
  <si>
    <t>Integrar las funciones universitarias por medio de la investigación, creación, innovación para la ampliación del conocimiento como bien público y para la solución de problemas de la ciudad - región y de la sociedad en general.</t>
  </si>
  <si>
    <t>Transferencia de resultados de investigación, creación e innovación institucionales para la solución de problemas de la sociedad.</t>
  </si>
  <si>
    <t>Definición y desarrollo de modelos de apropiación social del conocimiento, que posibiliten el intercambio y diálogo de saberes y conocimientos con los sectores sociales, productivos y culturales.</t>
  </si>
  <si>
    <t>Mejoramiento y cualificación de la producción y difusión científica y creativa, de tal manera que logren mayor presencia en el mundo académico.</t>
  </si>
  <si>
    <t>Definición y desarrollo de la agenda de investigación-innovación-creación institucional con la comunidad universitaria y con el apoyo de actores interesados, estableciendo mecanismos de participación de acuerdo con los contextos, saberes y conocimientos de los participantes.</t>
  </si>
  <si>
    <t>Formulación de una política de investigación que permita la creación de programas, proyectos, líneas y áreas de investigación que estimulen la producción científica, y la solución de problemas de la ciudad-región y del país.</t>
  </si>
  <si>
    <t>Consolidar y cualificar los grupos y semilleros de investigación.</t>
  </si>
  <si>
    <t>Creación de redes de investigación, nacionales e internacionales; y promover las membresías pertinentes.</t>
  </si>
  <si>
    <t>Promover la categorización de grupos de investigación en las convocatorias que para efecto se reglamenten.</t>
  </si>
  <si>
    <t>22. Aumentar la producción científica anual publicada en revistas indexadas.</t>
  </si>
  <si>
    <t>Expedición de la reglamentación interna que defina el marco y las condiciones para la creación y la gestión de las empresas.</t>
  </si>
  <si>
    <t>Desarrollo de las actividades que aborden las problemáticas de los sectores productivos, e integren a la comunidad universitaria en la búsqueda de soluciones efectivas que respondan a las necesidades diagnosticadas.</t>
  </si>
  <si>
    <t>Fortalecer los diálogos e intercambios con organismos internacionales, entidades estatales y sectores productivos.</t>
  </si>
  <si>
    <t>Actualización y ajuste, a los intereses de la Universidad, del Estatuto de Propiedad Intelectual.</t>
  </si>
  <si>
    <t>Incrementar el número de doctores que participan en el desarrollo de acciones encaminadas a la apropiación social del conocimiento.</t>
  </si>
  <si>
    <t>24. Incrementar proyectos de cofinanciación externa en 45%, cuyos recursos provengan de organismos internacionales, sistemas de ciencia tecnología e innovación, sistema nacional de regalías y, aquellos en los que tengan interés las entidades estatales.</t>
  </si>
  <si>
    <t>Creación y funcionamiento de un Centro de Innovación y Emprendimiento que contribuya a dar respuesta a las necesidades de los empresarios de la ciudad región, y promueva la articulación interdisciplinaria de servicios a los sectores económicos y la apropiación social del conocimiento como bien público.</t>
  </si>
  <si>
    <t>Establecer alianzas estratégicas y apoyar los parques tecnológicos en las áreas de influencia de la universidad.</t>
  </si>
  <si>
    <t>Concertar acciones de investigación, formación y asesoría con las empresas de los sectores productivos de la ciudad-región.</t>
  </si>
  <si>
    <t>25. Lograr el pleno apoyo a la investigación, la creación, la formación, la innovación y el incremento de la productividad y competitividad de las empresas de la ciudad región, por medio de convenios de cooperación con los diferentes sectores.</t>
  </si>
  <si>
    <t>Consolidación de los planes de formación doctoral para docentes de planta.</t>
  </si>
  <si>
    <t>Lineamiento Estratégico 4</t>
  </si>
  <si>
    <t>Garantizar, gestionar y proveer las condiciones institucionales para el cumplimiento de las funciones universitarias y el bienestar de su comunidad.</t>
  </si>
  <si>
    <t>Elaborar y ejecutar el Plan Maestro de Espacios Educativos.</t>
  </si>
  <si>
    <t>Desarrollo y actualización sostenible de la infraestructura universitaria de manera articulada entre las sedes de la universidad; además con una relación amable y respetuosa con el medio ambiente.</t>
  </si>
  <si>
    <t>Promoción de la cultura de respeto por el ambiente y la sostenibilidad ambiental.</t>
  </si>
  <si>
    <t>Favorecer los indicadores de área por estudiante para el desarrollo de la actividad curricular.</t>
  </si>
  <si>
    <t>27. Ampliar, mejorar y modernizar física, tecnológica y ambientalmente la infraestructura, esto de acuerdo con la proyección de la cobertura y las políticas de inclusión.</t>
  </si>
  <si>
    <t>Creación e implementación del sistema CRAI (Centro de Recursos para el Aprendizaje y la Investigación) que articule los medios educativos de la universidad.</t>
  </si>
  <si>
    <t>Identificar los avances en materia de conocimiento científico, tecnológico y de innovación que inciden en la organización, gestión y productividad de los procesos institucionales.</t>
  </si>
  <si>
    <t>Conocer las necesidades que expresan los resultados de la evaluación del desempeño; determinar las observaciones de las auditorías, internas y externas sobre la gestión y sus resultados; y diagnosticar las necesidades de los servidores públicos en materia de conocimientos.</t>
  </si>
  <si>
    <t>28. Consolidar cuatro centros de recursos para el aprendizaje y la investigación -CRAI-.</t>
  </si>
  <si>
    <t>29. Fortalecer las competencias de los servidores públicos al servicio de la institución, en beneficio del cumplimiento de las funciones institucionales.</t>
  </si>
  <si>
    <t>Aumentar y cualificar la planta de empleos docentes y administrativos, en correspondencia con la organización interna, la proyección de cobertura y las condiciones institucionales.</t>
  </si>
  <si>
    <t>Implementar estrategias orientadas a incentivar los ascensos en el escalafón de los docentes de carrera y docentes especiales.</t>
  </si>
  <si>
    <t>Motivar el conocimiento de lenguajes y actividades interactivas entre los servidores de la entidad y las personas en situación de discapacidad.</t>
  </si>
  <si>
    <t>Adecuar las instalaciones para garantizar el bienestar de las personas en situación de discapacidad.</t>
  </si>
  <si>
    <t>31. Aumentar el número de docentes de planta en un 45% y disminuir la vinculación especial en un 10%.</t>
  </si>
  <si>
    <t>32. Generar una cultura institucional que respete las diferencias y garantice el bienestar de las personas en situación de discapacidad.</t>
  </si>
  <si>
    <t>Lineamiento Estratégico 5</t>
  </si>
  <si>
    <t>Consolidar y fortalecer la democracia participativa, la gobernanza y la gobernabilidad para la cohesión de la comunidad universitaria.</t>
  </si>
  <si>
    <t>Garantizar tecnologías y canales digitales que permitan generar, procesar y acceder a información oportuna sobre las funciones universitarias, los procesos y procedimientos institucionales, el trámite de servicios, la recepción de solicitudes y la generación de respuestas pertinentes y satisfactorias.</t>
  </si>
  <si>
    <t>Garantizar la divulgación de toda información pública generada por la universidad; así como el control de la información pública clasificada y reservada que maneja la institución.</t>
  </si>
  <si>
    <t>35. Lograr la calidad y disponibilidad del 100% de la información institucional, que no tenga restricción constitucional ni legal.</t>
  </si>
  <si>
    <t>Consolidación de mecanismos de democracia participativa, donde la comunidad universitaria se involucre en la toma decisiones y en las dinámicas propias de la institución.</t>
  </si>
  <si>
    <t>Promover formas de organización, interacción y asociación de los estudiantes para su participación activa en los asuntos de la vida universitaria y de la sociedad.</t>
  </si>
  <si>
    <t>Adelantar diálogos con las diferentes representaciones de la sociedad civil, las agencias de cooperación, el sector privado y la academia para cualificar el proceso de rendición pública de cuentas.</t>
  </si>
  <si>
    <t>Garantizar la recepción y respuesta al 100% de las peticiones, quejas y reclamos, a través de canales y medios que se ajusten a las necesidades y capacidades de las personas que los interponen.</t>
  </si>
  <si>
    <t>Construir, ejecutar y evaluar periódicamente la estrategia de participación y rendición de cuentas.</t>
  </si>
  <si>
    <t>Implementar un sistema integrado de comunicaciones que permita gestionar, articular y medir su impacto en la publicidad, difusión, acceso y apropiación de la información para favorecer la visibilidad institucional nacional e internacionalmente.</t>
  </si>
  <si>
    <t>Estudiar las causas por las cuales se producen las peticiones, quejas y reclamos y adoptar mecanismos que permitan el mejoramiento continuo en la prestación de los servicios.</t>
  </si>
  <si>
    <t>37. Lograr un nivel de satisfacción mínimo del 80% por parte de las personas que utilizan los servicios de la Universidad.</t>
  </si>
  <si>
    <t>Fortalecimiento y ampliación de mecanismos que garanticen la eficiencia, eficacia y efectividad de las funciones universitarias; la transparencia y la ética en la toma de decisiones y en la operación institucional; y la seguridad jurídica institucional.</t>
  </si>
  <si>
    <t>Revisión, actualización y modernización del Estatuto General y de las demás normas estatutarias requeridas para el cumplimiento de las funciones institucionales, con las debidas consultas a la comunidad universitaria.</t>
  </si>
  <si>
    <t>Consolidación de sistemas de gestión, control, seguimiento, digitalización y acceso a la información, gestión documental, servicio en línea, trámites institucionales y atención a las personas.</t>
  </si>
  <si>
    <t>Estudiar, detectar, tratar y eliminar los riesgos de corrupción, motivando la participación de la comunidad universitaria y de la sociedad en la vigilancia de la gestión y la protección del patrimonio de la Universidad.</t>
  </si>
  <si>
    <t>38. Actualizar, compilar, depurar y difundir el 100% de las normas expedidas por las autoridades institucionales.</t>
  </si>
  <si>
    <t>39. Actualizar, simplificar y flexibilizar anualmente la operación de los procesos institucionales en el cumplimiento de las funciones universitarias.</t>
  </si>
  <si>
    <t>40. Establecer la adecuada asignación de funciones, competencias, seguridad jurídica y equilibrio institucional en la organización, gobierno y gestión de la Universidad.</t>
  </si>
  <si>
    <t>41. Conseguir la publicación oportuna y completa de toda la información relacionada con el principio de transparencia y derecho de acceso a información pública, de acuerdo con la Ley 1712 de 2014.</t>
  </si>
  <si>
    <t>42. Lograr indicadores de cero corrupción en la gestión institucional.</t>
  </si>
  <si>
    <r>
      <rPr>
        <b/>
        <sz val="12"/>
        <color theme="1"/>
        <rFont val="Calibri"/>
        <family val="2"/>
        <scheme val="minor"/>
      </rPr>
      <t>Objetivo:</t>
    </r>
    <r>
      <rPr>
        <sz val="12"/>
        <color theme="1"/>
        <rFont val="Calibri"/>
        <family val="2"/>
        <scheme val="minor"/>
      </rPr>
      <t xml:space="preserve"> </t>
    </r>
    <r>
      <rPr>
        <sz val="11"/>
        <color theme="1"/>
        <rFont val="Calibri"/>
        <family val="2"/>
        <scheme val="minor"/>
      </rPr>
      <t>Desarrollar la democratización del conocimiento en función de la equidad social; y asegurar la alta calidad en la formación, mediante la investigación, la ampliación de la cobertura, la diversificación de la pertinencia, de acuerdo con las necesidades de la sociedad y de la ampliación de fronteras en la producción y creación del conocimiento. Para tales efectos, la Universidad se articulará con las instancias académicas externas, y los sectores sociales y productivos, con el fin de promover la integración del sistema educativo.</t>
    </r>
  </si>
  <si>
    <r>
      <rPr>
        <b/>
        <sz val="12"/>
        <color theme="1"/>
        <rFont val="Calibri"/>
        <family val="2"/>
        <scheme val="minor"/>
      </rPr>
      <t>Objetivo:</t>
    </r>
    <r>
      <rPr>
        <sz val="11"/>
        <color theme="1"/>
        <rFont val="Calibri"/>
        <family val="2"/>
        <scheme val="minor"/>
      </rPr>
      <t xml:space="preserve"> Construir una organización curricular que propenda una oferta académica flexible e interdisciplinaria entre los diversos campos del saber y de la formación, mediante un sistema de créditos que lo regule. Esta organización curricular debe contribuir al desarrollo integral de quienes ingresan a la Universidad.</t>
    </r>
  </si>
  <si>
    <r>
      <rPr>
        <b/>
        <sz val="12"/>
        <color theme="1"/>
        <rFont val="Calibri"/>
        <family val="2"/>
        <scheme val="minor"/>
      </rPr>
      <t>Objetivo:</t>
    </r>
    <r>
      <rPr>
        <sz val="11"/>
        <color theme="1"/>
        <rFont val="Calibri"/>
        <family val="2"/>
        <scheme val="minor"/>
      </rPr>
      <t xml:space="preserve"> Diseñar y establecer las condiciones culturales, administrativas, técnicas, financieras y legales para el buen funcionamiento y gestión de los procesos institucionales.</t>
    </r>
  </si>
  <si>
    <r>
      <rPr>
        <b/>
        <sz val="12"/>
        <color theme="1"/>
        <rFont val="Calibri"/>
        <family val="2"/>
        <scheme val="minor"/>
      </rPr>
      <t xml:space="preserve">Objetivo: </t>
    </r>
    <r>
      <rPr>
        <sz val="11"/>
        <color theme="1"/>
        <rFont val="Calibri"/>
        <family val="2"/>
        <scheme val="minor"/>
      </rPr>
      <t>Desarrollar y consolidar mecanismos democráticos de representación, deliberación y participación de la comunidad universitaria, y garantizar la gobernabilidad en la gestión y las decisiones de la Administración que contribuyan al cumplimiento de las funciones universitarias. Así mismo, asegurar la transparencia y el derecho de acceso a información pública, para elevar los niveles de confianza, promover la evaluación social y pública de la gestión, aumentar y consolidar la capacidad en la toma de decisiones, y fortalecer la institucionalidad y cohesión de la Universidad.</t>
    </r>
  </si>
  <si>
    <t>Formula del indicador</t>
  </si>
  <si>
    <t>Indicador</t>
  </si>
  <si>
    <t>Documento de Resolución MEN Acreditación Institucional</t>
  </si>
  <si>
    <t>Número de estudiantes matriculados en pregrado</t>
  </si>
  <si>
    <t>Numero de estudiantes matriculados en posgrado</t>
  </si>
  <si>
    <t>Total  de programas con registro calificado vigente</t>
  </si>
  <si>
    <t>Porcentaje de programas que posean algún grado de homologación con otros programas internos o de otras Universidades nacionales o del exterior</t>
  </si>
  <si>
    <t>Porcentaje de Proyectos de Extensión que responden a problemáticas de las comunidades</t>
  </si>
  <si>
    <t>Porcentaje de estudiantes en procesos de movilidad Internacional</t>
  </si>
  <si>
    <t>Porcentaje de docentes en procesos de movilidad Internacional</t>
  </si>
  <si>
    <t>Número acumulado de estudiantes de IED apoyados por la Universidad</t>
  </si>
  <si>
    <t>Σ Programas con registro calificado</t>
  </si>
  <si>
    <t>Número de proyectos curriculares evaluados y actualizados</t>
  </si>
  <si>
    <t>∑ Programas evaluados curricularmente</t>
  </si>
  <si>
    <t>Porcentaje de docentes con manejo de las TI</t>
  </si>
  <si>
    <t>Porcentaje de docentes con manejo de lenguajes Inclusivos</t>
  </si>
  <si>
    <t>(D.LI)/(T.DOC)∗100</t>
  </si>
  <si>
    <t>Promedio de satisfacción de los estudiantes a los servicios ofrecidos</t>
  </si>
  <si>
    <t>Número de artículos científicos indexados en SCOPUS</t>
  </si>
  <si>
    <t>∑ Artículos indexados en SCOPUS</t>
  </si>
  <si>
    <t>Número de proyectos cofinanciados entre la Universidad y otras entidades</t>
  </si>
  <si>
    <t>∑ Proyectos de cofinanciación</t>
  </si>
  <si>
    <t>Número de convenios entre la Universidad y otras entidades</t>
  </si>
  <si>
    <t>∑ Convenios de la Universidad</t>
  </si>
  <si>
    <t>Porcentaje de docentes con doctorado</t>
  </si>
  <si>
    <t>Número de CRAI consolidados</t>
  </si>
  <si>
    <t>∑ CRAI Consolidados</t>
  </si>
  <si>
    <t>Evaluación del desempeño laboral implementada</t>
  </si>
  <si>
    <t>Porcentaje de empleados que están nombrados dentro de la carrera administrativa</t>
  </si>
  <si>
    <t>Número de docentes de planta nombrados</t>
  </si>
  <si>
    <t>∑ Docentes nombrados de planta</t>
  </si>
  <si>
    <t>Porcentaje de docentes y administrativos (de planta) capacitados en lenguajes accesibles</t>
  </si>
  <si>
    <t>(D/A.LenAcc) / (T.DOC/Adm)∗100</t>
  </si>
  <si>
    <t>Porcentaje de información disponible en la página web</t>
  </si>
  <si>
    <t>(Información disponible en la web)/(Total de información de la Universidad)∗100</t>
  </si>
  <si>
    <t>Porcentaje de instancias de planeación, seguimiento , evaluación y gestión con participación efectiva de los estamentos de la Comunidad Universitaria</t>
  </si>
  <si>
    <t>Porcentaje de usuarios que califican con 4 o 5 los servicios ofrecidos por la Universidad</t>
  </si>
  <si>
    <t>Porcentaje de verificación de la vigencia de la normatividad interna</t>
  </si>
  <si>
    <t>Porcentaje de normas estatutarias actualizadas.</t>
  </si>
  <si>
    <t>Porcentaje de información publicada según la ley 1712 de 2014</t>
  </si>
  <si>
    <t>Porcentaje de proyectos curriculares con acuerdos de cotitulación y/o doble titulación</t>
  </si>
  <si>
    <t>Línea base</t>
  </si>
  <si>
    <t>Meta 2030</t>
  </si>
  <si>
    <t>Universidad Acreditada</t>
  </si>
  <si>
    <t>∑ Programas de formación continua y educación informal</t>
  </si>
  <si>
    <t>Promoción de encuentros y articulación con los sectores productivos, sociales y de servicios, con el fin de responder a sus demandas y generar sinergia en la difusión y apropiación del conocimiento.</t>
  </si>
  <si>
    <t xml:space="preserve">Fortalecer acciones que fomenten el acceso de los estudiantes de pregrado a los programas de educación para el trabajo y el desarrollo humano ofrecidos por el ILUD. </t>
  </si>
  <si>
    <t>11. Fortalecer y ampliar las competencias en una segunda lengua en los estudiantes de pregrado de la Universidad Distrital de acuerdo con lo estipulado en el Marco Común Europeo (MCE).</t>
  </si>
  <si>
    <t>7. Aumentar la oferta de programas de formación continua y educación informal en un 10% anual, de acuerdo con las necesidades de los sectores productivos, sociales y de servicios de Bogotá y la ciudad región.</t>
  </si>
  <si>
    <t>Tasa de eficiencia en la titulación (Porcentaje de estudiantes que se han graduado en máximo dos periodos adicionales a los establecidos en el plan de estudios)</t>
  </si>
  <si>
    <t>(Estudiantes que se graduan en máximo un año adicional al previsto en su plan de estudios/Graduados de la vigencia)∗100</t>
  </si>
  <si>
    <t>XX</t>
  </si>
  <si>
    <t>Sin medición</t>
  </si>
  <si>
    <t>20. Clasificarse entre las 10 mejores IES publicas colombianas según indicadores en investigación.</t>
  </si>
  <si>
    <t xml:space="preserve">Puesto según Rankings:  
US: Usapiens 
WM: Webometrics 
ScN: Scimago Nacional </t>
  </si>
  <si>
    <t>US: 10
WM: 10
ScN: 10</t>
  </si>
  <si>
    <t>US: 16
WM: 18
ScN: 15</t>
  </si>
  <si>
    <t>21. Aumentar el porcentaje de revistas científicas indexadas en indices reconocidos.</t>
  </si>
  <si>
    <t>Porcentaje de revistas institucionales con algún nivel de indexación en indices reconocidos</t>
  </si>
  <si>
    <t xml:space="preserve">(Revistas indexadas en cada uno de los referentes de indexación/Total de revistas institucionales)∗100	</t>
  </si>
  <si>
    <t>Publindex: 6/19= 31,57%
Scopus: 1/19= 5,2%
SCIELO Colombia: 5/19= 26,31%
Redalyc: 5/19=26,31%
Dialnet: 9/19= 47,36%
DOAJ: 15/19= 78,94%
Latindex: 12/19= 63,15%
Redib: 17/19= 89,47%</t>
  </si>
  <si>
    <t>Publindex: 10/19= 52,63%
Scopus: 3/19= 15,78%
SCIELO Colombia: 10/19= 52,63%
Redalyc: 10/19=52,63%
Dialnet: 10/19= 52,63%
DOAJ: 19/19= 100%
Latindex: 16/19= 84,21%
Redib: 19/19= 100%</t>
  </si>
  <si>
    <t>23. Crear al menos 10 planes de negocios resultado de procesos de investigación, creación y/o innovación.</t>
  </si>
  <si>
    <t>Número de Planes de negocio resultado de Investigación, Creación y/o Innovación validados</t>
  </si>
  <si>
    <t>∑ de Planes de Negocio resultado de Investigación, Creación y/o Innovación Validados</t>
  </si>
  <si>
    <t xml:space="preserve">Implementar la infraestructura tecnológica en la nube pública y privada, que permita alta disponibilidad de los servicios de sistemas de información y tecnológicos, de acuerdo al catálogo de servicios de sistemas de información e infraestructura, definidos en la Arquitectura Institucional establecida para la Universidad Distrital. </t>
  </si>
  <si>
    <t xml:space="preserve">Desarrollo, gestión y actualización sostenible de la red corporativa (académica y administrativa) integrando las sedes de la Universidad, de acuerdo a la demanda y necesidad de la institución. </t>
  </si>
  <si>
    <t>Porcentaje de graduados en la vigencia que tienen un dominio equivalente al nivel B1 en inglés según los criterios establecidos por el MCE</t>
  </si>
  <si>
    <t>Porcentaje de graduados en la vigencia que tienen un dominio equivalente al nivel B1 en otro idioma (francés, italiano, alemán o portugués)  según los criterios establecidos por el MCE</t>
  </si>
  <si>
    <t>Porcentaje de graduados en la vigencia que tienen un dominio equivalente al nivel B2 en inglés según los criterios establecidos por el MCRE</t>
  </si>
  <si>
    <t>Porcentaje de graduados en la vigencia que tienen un dominio equivalente al nivel B2 en otro idioma (francés, italiano, alemán o portugues)  según los criterios establecidos por el MCRE</t>
  </si>
  <si>
    <t>Porcentaje de estudiantes de pregrado que no se han matriculado por dos periodos consecutivos</t>
  </si>
  <si>
    <t>Áreas intervenidas por reparación locativa y/o adecuación espacios y/o dotación de mobiliario</t>
  </si>
  <si>
    <t>Metros cuadrados en sedes propias, en comodato, y en arriendo de la Universidad</t>
  </si>
  <si>
    <t>∑ áreas intervenidas por reparación locativa y/o adecuación espacios y/o dotación de mobiliario</t>
  </si>
  <si>
    <t>Infraestructura sostenible implementada en las sedes de la Universidad</t>
  </si>
  <si>
    <t>∑(área destinada zonas verdes y paisajismo + proyectos de movilidad sostenible + área destinada a tecnologías de mejoramiento ambiental)</t>
  </si>
  <si>
    <t>Disponibilidad de servicios de la infraestructura tecnológica de la nube privada</t>
  </si>
  <si>
    <t xml:space="preserve"> [(Tiempo del servicio 1 prestado en actividad / tiempo de prestación de servicios en el periodo)*100+(Tiempo del servicio 2 prestado en actividad / tiempo de prestación de servicios en el periodo)*100+...+(Tiempo del servicio n prestado en actividad / tiempo de prestación de servicios en el periodo)*100]/n</t>
  </si>
  <si>
    <t>Disponibilidad de servicios de la infraestructura tecnológica en la nube pública</t>
  </si>
  <si>
    <t>Obsolescencia de la infraestructura tecnológica en la nube privada</t>
  </si>
  <si>
    <t>(Cantidad de equipos o dispositivos obsoletos/total de equipos o dispositivos)*100</t>
  </si>
  <si>
    <t>Evaluación del desempeño sin implementar</t>
  </si>
  <si>
    <t>Evaluación del desempeño implementada</t>
  </si>
  <si>
    <t xml:space="preserve">Madurez de Arquitectura Institucional </t>
  </si>
  <si>
    <t>Nivel de Madurez de Arquitectura Institucional</t>
  </si>
  <si>
    <t>33. Articular y establecer gobernanza entre los diferentes servicios de Tecnologías de la Información, la estrategia y los servicios de la Institución.</t>
  </si>
  <si>
    <t>34. Implementar el componente de Seguridad y Privacidad de la Información de la Política de Seguridad Digital establecida en el Modelo Integrado de Planeación y Gestión, MIPG, mediante el Modelo de Privacidad y Seguridad de la Información - MSPI.</t>
  </si>
  <si>
    <t>Implementación del Plan Anticorrupción y de Atención al Ciudadano, PAAC, de la vigencia</t>
  </si>
  <si>
    <t>Número de rendiciones de cuentas realizadas a la comunidad anualmente</t>
  </si>
  <si>
    <t xml:space="preserve">∑ porcentaje de cumplimiento por componte/número de componentes </t>
  </si>
  <si>
    <t>Número de medios de atención disponibles a la ciudadanía en los diferentes canales dispuestos por la Universidad</t>
  </si>
  <si>
    <t>∑ Número de medios de atención disponibles a la ciudadania</t>
  </si>
  <si>
    <t>∑ Número de rendiciones de cuentas realizadas a la comunidad
anualmente</t>
  </si>
  <si>
    <t>16. Aumentar la tasa de graduación oportuna en pregrados al 70%.</t>
  </si>
  <si>
    <t>Madurez del Modelo de Privacidad y Seguridad de la Información</t>
  </si>
  <si>
    <t>Nivel de avance del proceso de reforma universitaria</t>
  </si>
  <si>
    <t>(Matriculados Semestre 1 pregrado + Matriculados Semestre 2 pregrado)/2</t>
  </si>
  <si>
    <t>(Matriculados Semestre 1 posgrado + Matriculados Semestre 2 posgrado)/2</t>
  </si>
  <si>
    <t>(Programas con algún nivel de homologación/Total de programas)*100</t>
  </si>
  <si>
    <t>(Programas de extensión que impactan a las comunidades PePS/Programas de extensión)∗100</t>
  </si>
  <si>
    <t>(Programas con acuerdos de cotitulación y/o doble titulación /Total de programas)∗100</t>
  </si>
  <si>
    <t>(Estudiantes en procesos de movilidad internacional/Total de estudiantes matriculados)∗100</t>
  </si>
  <si>
    <t>[(Graduados que alcanzaron el nivel B1 en SaberPro + Graduados que alcanzaron B1 en Ext)/(Graduados de la vigencia)]∗100</t>
  </si>
  <si>
    <t>[(Graduados que alcanzaron B1 en otro idioma por Ext)/(Graduados de la vigencia)]∗100</t>
  </si>
  <si>
    <t>[(Graduados que alcanzaron el nivel B2 en SaberPro + Graduados que alcanzaron B2 en Ext)/(Graduados de la vigencia)]∗100</t>
  </si>
  <si>
    <t>[(Graduados que alcanzaron B2 en otro idioma por Ext)/(Graduados de la vigencia)]∗100</t>
  </si>
  <si>
    <t>∑ Estudiantes apoyados en competencias básicas</t>
  </si>
  <si>
    <t>∑ (Avance de cada etapa del proceso*ponderación de la etapa)</t>
  </si>
  <si>
    <t>(Docentes con manejo en TI)/(Total de docentes)∗100</t>
  </si>
  <si>
    <t>(∑ Calificaciones obtenidas/Total de estudiantes que califican los servicios)</t>
  </si>
  <si>
    <t>18. Lograr que el 40% de los docentes de planta manejen lenguajes que permitan garantizar la atención de comunidades en el marco de la política de inclusión.</t>
  </si>
  <si>
    <t>(Docentes con doctorado/Total de docentes)∗100</t>
  </si>
  <si>
    <t>[Estudiantes que abandonan su proceso formativo/Estudiantes matriculados]*100</t>
  </si>
  <si>
    <t>(Empleados en carrera administrativa/Total empleados)* 100</t>
  </si>
  <si>
    <t>(Instancias participando efectivamente/Total de instancias de la Universidad)∗100</t>
  </si>
  <si>
    <t>(Usuario≥4 y 5/T.Usuarios)∗100</t>
  </si>
  <si>
    <t>N/D</t>
  </si>
  <si>
    <t>(Normatividad verificada/Total de normatividad expedida por la UD)∗100</t>
  </si>
  <si>
    <t>(Procesos actualizados/Total de procesos)∗100</t>
  </si>
  <si>
    <t>(Normas actualizadas/Total de normas estatutarias)∗100</t>
  </si>
  <si>
    <t>(Información publicada/Información publicable según ley)∗100</t>
  </si>
  <si>
    <t>(Docentes en procesos de movilidad internacional/Total de docentes de planta)∗100</t>
  </si>
  <si>
    <t>Porcentaje de actualización de procesos del MOP</t>
  </si>
  <si>
    <t>Programas de formación continua y educación informal creados</t>
  </si>
  <si>
    <t>13. Disminuir la tasa de deserción semestral en al 13,6% en programas de pregrado.</t>
  </si>
  <si>
    <t>3.       Gestionar acreditaciones internacionales para nuevos programas de pregrado, maestrías y doctorados.</t>
  </si>
  <si>
    <t>4.       Implementar los planes de mejoramiento propuestos en la autoevaluación de programas e institucional, atendiendo las recomendaciones de los informes de las comisiones de pares y del Consejo Nacional de Acreditación a fin de fortalecer la cultura de la acreditación y el mejoramiento continuo de nuestra institución.</t>
  </si>
  <si>
    <t>5.       Actualización integral de nuestro modelo formativo soportado en las mejores prácticas de diseño curricular basadas en resultados de aprendizaje, innovaciones mediadas por tecnología.</t>
  </si>
  <si>
    <t>6.       Fortalecimiento de la planta de personal docente con el desarrollo de concursos abiertos en un numero de ciento veinte (120) durante los cuatro (4) años con perfiles de Doctorado en un 80% y maestría en un 20%.</t>
  </si>
  <si>
    <t>7.       Revisar y proyectar las condiciones de vinculación docente de ocasionales y hora cátedra de acuerdo a los pronunciamientos legales y jurisprudenciales que permitan que dichos docentes se vinculen de manera digna a la institución contemplando así los periodos de revisión y actualización de su material de apoyo en términos de calidad.</t>
  </si>
  <si>
    <t>10.    Fomentar programa de becas para maestrías y doctorados con recursos propios y externos.</t>
  </si>
  <si>
    <t>11.    Estructuración y fortalecimiento del sistema Integrado de postgrados que respetando los saberes y conocimientos permitan una gestión basada en resultados de sostenibilidad de la oferta postgradual.</t>
  </si>
  <si>
    <t>1. Acreditación institucional y aseguramiento de la calidad</t>
  </si>
  <si>
    <t>1.       Comprometer decididamente a la administración con la implementación de la Reforma del Estatuto General de la Universidad Distrital, que sea aprobada por el Consejo Superior Universitario a partir de la propuesta entregada por la Asamblea Universitaria y los demás esfuerzos institucionales que se han gestado para tal fin.</t>
  </si>
  <si>
    <t>6.       Procurar y garantizar el cumplimiento oportuno de los acuerdos colectivos desarrollados con los empleados públicos administrativos de la Universidad.</t>
  </si>
  <si>
    <t>8.       Garantizar el derecho a la estabilidad laboral al personal actualmente vinculado a la institución.</t>
  </si>
  <si>
    <t>2. Reforma orgánica de la Universidad Distrital</t>
  </si>
  <si>
    <t>3. Investigación - creación e innovación y responsabilidad social y ambiental</t>
  </si>
  <si>
    <t>1.       Consolidar los mecanismos de diversificación, ampliación de programas y proyectos de investigación mediante convocatorias con financiamiento interno y externo, en las áreas de conocimiento con capacidades y fortalezas institucionales.</t>
  </si>
  <si>
    <t>6.       Crear nuevos institutos y centros para la investigación como centro de cuarta revolución industrial, centro toma de decisiones a partir de trabajo colaborativo, centro de energías renovables, instituto de artes, instituto de estudios sociales, ciudad y gobierno.</t>
  </si>
  <si>
    <t>7.       Fortalecer las instancias de vinculación y transferencia de conocimiento que permitan consolidar las capacidades existentes desde la divulgación de conocimiento por medio de las revistas científicas y demás procesos editoriales como escenarios que permiten disponer a la comunidad académica y sociedad en general el conocimiento generado desde procesos académicos, investigativos y creativos, así como el esfuerzo permanente desde la OTRI-Bogotá.</t>
  </si>
  <si>
    <t>8.       Fomentar el relacionamiento con el sector productivo y la sociedad en general desde la búsqueda de estrategias orientadas a lograr la incorporación de los resultados obtenidos en proyectos de investigación-creación como elementos clave para fomentar el desarrollo económico y social de la ciudad, la región y el país.</t>
  </si>
  <si>
    <t>9.       Consolidar la OTRI-Bogotá como una unidad responsable de fomentar los procesos de transferencia de resultados de investigación y de conocimiento, responsable de formular y dinamizar estrategias que permitan dar respuesta a las necesidades de la sociedad.</t>
  </si>
  <si>
    <t>11.    Desarrollar e implementar el modelo de triple hélice (universidad, gobierno, industria) en el marco de las nuevas leyes de ciencia, tecnología e innovación.</t>
  </si>
  <si>
    <t>1.       Impulsar el desarrollo del bienestar institucional extensivo y participativo, acceso a los programas conforme características económicas, sociales y académicas, con proyectos focalizados.</t>
  </si>
  <si>
    <t>3.       Mejorar los procedimientos de divulgación de servicios y mejoramiento de recursos físicos y materiales para el cumplimiento de las funciones de bienestar.</t>
  </si>
  <si>
    <t xml:space="preserve">4. Bienestar </t>
  </si>
  <si>
    <t>5. Mediación Tecnológica</t>
  </si>
  <si>
    <t>2.      Fortalecimiento de competencias TIC para estudiantes y docentes.</t>
  </si>
  <si>
    <t>3.      Reconocimiento a docentes en la producción de contenidos y recursos digitales conforme estándares y modelos de calidad.</t>
  </si>
  <si>
    <t>4.      Garantizar la educación inclusiva y de calidad con mediación tecnológica.</t>
  </si>
  <si>
    <t>5.      Desarrollar programas de pregrado y posgrado con modalidad virtual, que respondan Objetivos de Desarrollo Sostenible (Agenda 2030) con cobertura nacional e internacional.</t>
  </si>
  <si>
    <t>6.      Fortalecimiento a los programas académicos presenciales con el desarrollo de microaprendizaje.</t>
  </si>
  <si>
    <t>7.      Desarrollar contenidos con plataformas abiertas tipo MOOC y procesos de certificación.</t>
  </si>
  <si>
    <t>8.      Innovar con TIC en los procesos de formación con estrategias de m-learning (mobil learning), blockchain, Gamificación, micro-credenciales.</t>
  </si>
  <si>
    <t>9.      Proponer alianzas estratégicas con sectores productivos para procesos de formación en co-creación.</t>
  </si>
  <si>
    <t>10.  Desarrollar programas STEM+I además de una escuela de formación en ciencias de datos para articulación con la educación media en el Distrito.</t>
  </si>
  <si>
    <t>3.      Garantizar la apropiación y ejecución de los Recursos del Sistema General de Regalías para el desarrollo del Proyecto del Edificio de Ingeniería.</t>
  </si>
  <si>
    <t>6. Infraestructura Física</t>
  </si>
  <si>
    <t>3.       Asignar recursos para la interinstitucionalización e internacionalización, con el fin de cumplir las metas del Plan Estratégico de Desarrollo de la UDFJC 2018 -2030.</t>
  </si>
  <si>
    <t>5.       Mejorar el posicionamiento en los ranking internacionales en el QS World University Rankings.</t>
  </si>
  <si>
    <t>6.       Implementar clases espejo con pares académicos nacionales e internacionales.</t>
  </si>
  <si>
    <t>7.       Implementar la política de plurilingüismo en espacios académicos impartidos en otros idiomas que privilegien lenguas nativas mediante programas de formación para docentes, estudiantes y administrativos, ejecutados por el ILUD, el énfasis en enseñanza del inglés del DIE, la maestría en lingüística aplicada a la enseñanza del inglés y la licenciatura en educación básica en inglés.</t>
  </si>
  <si>
    <t>7. Gestión de Interinstitucionalización e Internacionalización</t>
  </si>
  <si>
    <t>1.       Revisión de políticas institucionales a la luz del Decreto 1330 de 2019 que permita responder a las demandas sociales, culturales y ambientales en consonancia con nuestro horizonte de desarrollo.</t>
  </si>
  <si>
    <t>2.       Desarrollar e implementar los procesos y procedimientos que permitan articular la reforma y su adaptación de las actuales Facultades y Proyectos Curriculares, a Escuelas, con sus respectivos Claustros, vicerrectorías y demás dependencias que sean reestructuradas en la reforma.</t>
  </si>
  <si>
    <t>9.       Fortalecimiento vertical de la oferta académica, creación de nuevos Doctorados y fortalecimiento de los existentes para fomentar la generación de nuevo conocimiento.</t>
  </si>
  <si>
    <t>5.       Crear la Oficina de Contratación de la Universidad con el fin de gestionar la estructuración de los procesos contractuales de la Universidad permitiendo celeridad, eficacia y eficiencia en las actividades desarrolladas.</t>
  </si>
  <si>
    <t>4.       Impulsar programas de investigación en educación para transformar las prácticas educativas que permitan articular el conocimiento la escuela y la sociedad.</t>
  </si>
  <si>
    <t>2.       Consolidar un ambiente laboral armónico, desarrollo de competencias para buenas prácticas para la convivencia e identidad institucional.</t>
  </si>
  <si>
    <t>2.      Revisar un plan Maestro de Desarrollo Físico para la Universidad Distrital Francisco José de Caldas que permita caracterizar necesidades de mantenimiento, adquisición, construcción y adecuación de los espacios existentes y las nuevas necesidades de formación.</t>
  </si>
  <si>
    <t>4.      Gestionar recursos nacionales o internacionales para el desarrollo de un Parque Tecnológico transversal a los saberes de cada Facultad.</t>
  </si>
  <si>
    <t>5.      Desarrollar una estrategia inclusiva Universidad e industria con posibilidad de apropiación de tecnologías de punta en alianza con fabricantes de talla mundial en todas las áreas del conocimiento.</t>
  </si>
  <si>
    <t>2.       Facilitar la inmersión y participación activa de la institución en la sociedad del conocimiento en el ámbito local, nacional e internacional (Acuerdo del Consejo Superior Universitario).</t>
  </si>
  <si>
    <t>4.       Posicionar en los primeros 10 lugares institucionalmente a la Universidad Distrital Francisco José de Caldas en los ranking nacionales.</t>
  </si>
  <si>
    <t xml:space="preserve">Estrategia </t>
  </si>
  <si>
    <t xml:space="preserve">Meta Estratégica </t>
  </si>
  <si>
    <t xml:space="preserve">ESTRUCTURA PLAN ESTRATÉGICO DE DESARROLLO </t>
  </si>
  <si>
    <t>ESTRUCTURA PROPUESTA DE GOBIERNO</t>
  </si>
  <si>
    <t>2.       Renovar las acreditaciones de alta calidad que se han logrado a nivel nacional e internacional a nivel de los programas existentes en pregrado y postgrado.</t>
  </si>
  <si>
    <t>Establecer y desarrollar el Programa Institucional de Plurilingüismo como la estrategia institucional de apropiación de la segunda lengua como parte activa de la gestión curricular y como condición para la titulación y la evaluación.</t>
  </si>
  <si>
    <t>L</t>
  </si>
  <si>
    <t>L1</t>
  </si>
  <si>
    <t>26. Aumentar al 50% el número de docentes con Doctorado.</t>
  </si>
  <si>
    <t>L4</t>
  </si>
  <si>
    <t>8.       Creación de nuevas facultades que permitan cerrar el ciclo formativo, Facultad de Ciencias Básicas, Facultad de Ciencias de la Salud, Facultad de Ciencias Humanas, económicas y administrativas.</t>
  </si>
  <si>
    <t>L3</t>
  </si>
  <si>
    <t>12.    Crear redes que vinculen las acciones de empleabilidad entre los egresados de la Universidad en alianza con el sector productivo para implementar convenios Universidad, Empresa, Estado en beneficio de la comunidad universitaria.</t>
  </si>
  <si>
    <t>3.       Desligar la actividad contractual de la Oficina Asesora Jurídica de la Universidad, de modo que su función se centre en planear, dirigir, coordinar y brindar asesoría jurídica en los asuntos que se someten a su consideración.</t>
  </si>
  <si>
    <t>7.       Proyectar la ampliación de la planta administrativa de la Universidad de acuerdo a las necesidades evidenciadas institucionalmente promoviendo el desarrollo de los actualmente vinculados.</t>
  </si>
  <si>
    <t>30. Aumentar al 100% la vinculación de empleados administrativos conforme al sistema de carrera administrativa.</t>
  </si>
  <si>
    <t>2.       Estructurar el Fondo de Investigaciones que garantice la financiación de los programas y proyectos de investigación, así como apoyo a las iniciativas de las estructuras de investigación soportadas en grupos, semilleros e investigadores.</t>
  </si>
  <si>
    <t>36. Implantar mecanismos de participación, de los diferentes estamentos, de la comunidad universitaria, en las instancias de planeación, gestión, seguimiento y evaluación de la Universidad.</t>
  </si>
  <si>
    <t>L2</t>
  </si>
  <si>
    <t>4.       Integrar la gestión de información que garantice la adecuada caracterización con transparencia de la información y las acciones realizadas para los diversos apoyos brindados a la comunidad universitaria.</t>
  </si>
  <si>
    <t>5.       Formular estrategias de estudios e investigación del bienestar para identificar requerimientos y necesidades de la comunidad académica.</t>
  </si>
  <si>
    <t>6.       Revisar y proponer nuevas escuelas de práctica deportiva que incrementen la participación de miembros de la comunidad universitaria.</t>
  </si>
  <si>
    <t>1.      Acceso y dotación de equipos de cómputo (computador portátil) para estudiantes y docentes, de manera gradual y priorizando beneficiarios a partir de condiciones socioeconómicas y académicas, garantizando conectividad.</t>
  </si>
  <si>
    <t>11.  Formular una estrategia de transformación digital en la Universidad Distrital que este fundamentada en las tecnologías disruptivas para brindar servicios de alto valor además de emprendimientos digitales.</t>
  </si>
  <si>
    <t>10. Aumentar el índice de movilidad internacional anual mínimo al 5% de la planta docente.</t>
  </si>
  <si>
    <t>1.       Institucionalizar la política de interinstitucionalización e internacionalización de la UDFJC como un macroproceso de direccionamiento estratégico, para la formación integral de profesionales, investigadores y creadores.</t>
  </si>
  <si>
    <t>Armonización Plan Estratégico de Desarrollo 2018-2030</t>
  </si>
  <si>
    <t xml:space="preserve">Propuesta de Gobierno </t>
  </si>
  <si>
    <t>Factores</t>
  </si>
  <si>
    <t>Propuesta de gobierno 2022-2024</t>
  </si>
  <si>
    <t>Plan Estratégico de Desarrollo 2022-2028</t>
  </si>
  <si>
    <t xml:space="preserve">1. Estructura general </t>
  </si>
  <si>
    <t>• Número (proporción) de programas acreditados de Alta Calidad - referente CNA
• Número (proporción) de programas acreditados de Alta Calidad a nivel internacional</t>
  </si>
  <si>
    <t>Unidades responsables</t>
  </si>
  <si>
    <t>Vicerrectoría Académica</t>
  </si>
  <si>
    <t>Vicerrectoría Académica
Consejo Académico</t>
  </si>
  <si>
    <t>Vicerrectoría Académica
Coordinación General de Autoevaluación y Acreditación
Decanos</t>
  </si>
  <si>
    <t>• Número (proporción) de programas reacreditados de Alta Calidad - referente CNA
• Número (proporción) de programas reacreditados de Alta Calidad a nivel internacional</t>
  </si>
  <si>
    <t xml:space="preserve">• Avance en el cumplimiento del Plan de Mejoramiento Institucional
• Avance en el cumplimiento del Plan de Mejoramiento de cada programa </t>
  </si>
  <si>
    <t xml:space="preserve">• 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
• Estructuración de metodologías y estrategias de enseñanza - aprendizaje que favorezcan la construcción y resolución de situaciones problemáticas.
</t>
  </si>
  <si>
    <t xml:space="preserve"> -</t>
  </si>
  <si>
    <t xml:space="preserve">• Número de plazas provistas durante el cuatrienio
• Número (proporción) de docentes con doctorado en la Universidad
• Número (proporción) de docentes con maestría en la Universidad  </t>
  </si>
  <si>
    <t>• Avance en la conformación de las Facultades
• Número de nuevas facultades (con Acuerdo de aprobación por el CSU)</t>
  </si>
  <si>
    <t>• Número de programas de doctorado</t>
  </si>
  <si>
    <t>Rectoría
División de Recursos Humanos
Vicerrectoría Administrativa y Financiera</t>
  </si>
  <si>
    <t>Vicerrectoría Académica
Decanaturas de Facultad</t>
  </si>
  <si>
    <t>Rectoría
Vicerrectoría Académicas</t>
  </si>
  <si>
    <t>• Número de Docentes beneficiados por el programa de apoyos en becas en maestría y doctorados
• Número (proporción) de docentes en formación  maestría</t>
  </si>
  <si>
    <t>• 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t>
  </si>
  <si>
    <t>Lineamientos de acción (Acciones)</t>
  </si>
  <si>
    <t>Revisar el decreto*</t>
  </si>
  <si>
    <t>4.       Ubicar a la Oficina Asesora Jurídica de la Universidad como dependencia funcional y jerárquica de la Rectoría en atención a los planes las consideraciones de la Auditoría Integral, se le otorgue el posicionamiento que permita visibilizar su gestión.</t>
  </si>
  <si>
    <t xml:space="preserve">• Nivel de avance del proceso de reforma universitaria = ∑ (Avance de cada etapa del proceso*ponderación de la etapa)
• Estatuto General aprobado por el CSU </t>
  </si>
  <si>
    <t>Rectoría
Vicerrectoría Académica
Vicerrectoría Administrativa y Financiera
Secretaría General
OAPC</t>
  </si>
  <si>
    <t xml:space="preserve">Gestionar la aprobación del ajuste al Estatuto General por parte del Consejo Superior Universitario. </t>
  </si>
  <si>
    <t>L5</t>
  </si>
  <si>
    <t>Indicador/Meta</t>
  </si>
  <si>
    <t xml:space="preserve">• Normas estatutarias actualizadas.
• Nivel de avance de la implementación de la hoja de ruta para la Reforma Universitaria = ∑ (Avance de cada etapa del proceso*ponderación de la etapa)
</t>
  </si>
  <si>
    <t xml:space="preserve">• Avance en la consolidación de la Unidad de Contratación de la UD. </t>
  </si>
  <si>
    <t>Estructurar y crear la Oficina de Contratación de la Universidad Distrital en el marco del proceso de Reforma Universitaria.</t>
  </si>
  <si>
    <t>Analizar la viabilidad jurídica y administrativa del traslado de la Oficina Asesora Jurídica y su eventual dependencia a la Rectoría. 
Estructurar y ajustar la Oficina de Jurídica de la Universidad Distrital en el marco del proceso de Reforma Universitaria.</t>
  </si>
  <si>
    <t xml:space="preserve">• Avance en la consolidación de la Oficina Asesora de Jurídica de la UD. </t>
  </si>
  <si>
    <t>Rectoría</t>
  </si>
  <si>
    <t xml:space="preserve">Rectoría </t>
  </si>
  <si>
    <t xml:space="preserve">En cuanto al personal administrativo de la Universidad, al año 2017 estaba compuesto por 254 cargos distribuidas en diferentes niveles; directivo, asesor, ejecutivo, profesional, técnico, asistencial y operativo, de las cuales 205 se encontraban ocupados y las restantes 49 se encontraban en vacancia. </t>
  </si>
  <si>
    <t xml:space="preserve">Vicerrectoría Académica
CIDC
CERI
</t>
  </si>
  <si>
    <t>Vicerrectoría Académica
CIDC
CERI</t>
  </si>
  <si>
    <t>• Avance en la consolidación del fondo de investigaciones de la Universidad.</t>
  </si>
  <si>
    <t xml:space="preserve">Estructurar y reglamentar el fondo de investigaciones de la Universidad Distrital. </t>
  </si>
  <si>
    <r>
      <t xml:space="preserve">3.       Consolidar el Plan Maestro de Investigaciones sustentado en las fortalezas derivadas de las capacidades </t>
    </r>
    <r>
      <rPr>
        <sz val="11"/>
        <color rgb="FFFF0000"/>
        <rFont val="Calibri"/>
        <family val="2"/>
        <scheme val="minor"/>
      </rPr>
      <t>y fortalezas</t>
    </r>
    <r>
      <rPr>
        <sz val="11"/>
        <color theme="1"/>
        <rFont val="Calibri"/>
        <family val="2"/>
        <scheme val="minor"/>
      </rPr>
      <t xml:space="preserve"> institucionales.</t>
    </r>
  </si>
  <si>
    <t>Consolidar el Plan Maestro de Investigaciones sustentado en las fortalezas derivadas de las capacidades y fortalezas institucionales.</t>
  </si>
  <si>
    <t>• Avance en la consolidación y aprobación del Plan Maestro de Investigaciones</t>
  </si>
  <si>
    <t>Vicerrectoría Académica
CIDC
Decanaturas de Facultad</t>
  </si>
  <si>
    <t>Impulsar programas de investigación en educación para transformar las prácticas educativas que permitan articular el conocimiento la escuela y la sociedad.</t>
  </si>
  <si>
    <t>• Número de programas/proyectos de investigación en investigación</t>
  </si>
  <si>
    <t>Vicerrectoría Académica
CIDC
Facultad de Ciencias y Educación</t>
  </si>
  <si>
    <t>5.       Valorar los procesos de investigación-Creación como espacio de interés multicultural y multi-disciplinar en el campo de los estudios artístico que permitan viabilizar programas y proyectos específicos de en estas áreas de conocimiento.</t>
  </si>
  <si>
    <t xml:space="preserve">Viabilizar  programas y proyectos  específicos  de en el campo de los estudios artísticos. </t>
  </si>
  <si>
    <t xml:space="preserve">• Número de programas/proyectos de investigación-creación en el campo de los estudios artísticos. </t>
  </si>
  <si>
    <r>
      <rPr>
        <b/>
        <sz val="12"/>
        <color theme="1"/>
        <rFont val="Calibri"/>
        <family val="2"/>
        <scheme val="minor"/>
      </rPr>
      <t>Objetivo:</t>
    </r>
    <r>
      <rPr>
        <sz val="12"/>
        <color theme="1"/>
        <rFont val="Calibri"/>
        <family val="2"/>
        <scheme val="minor"/>
      </rPr>
      <t xml:space="preserve"> </t>
    </r>
    <r>
      <rPr>
        <sz val="11"/>
        <color theme="1"/>
        <rFont val="Calibri"/>
        <family val="2"/>
        <scheme val="minor"/>
      </rPr>
      <t>Fortalecer y consolidar los procesos de investigación, creación e innovación para responder a las necesidades de la ciudad-región, las comunidades, los sectores económicos y la sociedad a fin de mejorar la equidad, la calidad de vida y el desarrollo integral de las personas.</t>
    </r>
  </si>
  <si>
    <t xml:space="preserve">Estructurar y consolidar la creación de nuevos Institutos y Centros para la investigación.  </t>
  </si>
  <si>
    <t>• Avance en la estructuración de los Centros e Institutos
• Número Centros e Institutos de Investigación  creados
* Se plantean cinco en la propuesta de gobierno</t>
  </si>
  <si>
    <t>Rectoría
Vicerrectoría Académica
Vicerrectoría Administrativa y Financiera
OAPC
Oficina Asesora Jurídica
Decanaturas de Facultad</t>
  </si>
  <si>
    <t>Expedición de la reglamentación interna que defina el marco y las condiciones para la creación y la gestión de las empresas.
Desarrollo de las actividades que aborden las problemáticas de los sectores productivos, e integren a la comunidad universitaria en la búsqueda de soluciones efectivas que respondan a las necesidades diagnosticadas.</t>
  </si>
  <si>
    <t>Vicerrectoría Académica
CIDC</t>
  </si>
  <si>
    <t>• Número de convenios suscritos con organizaciones del sector productivo, gubernamental y la sociedad en general</t>
  </si>
  <si>
    <t>Consolidar la OTRI-Bogotá como una unidad responsable de fomentar los procesos de transferencia de resultados de investigación y de conocimiento</t>
  </si>
  <si>
    <t>Rectoría 
CIDC 
OTRI</t>
  </si>
  <si>
    <t>• Avance en la consolidación de la OTRI como la Unidad responsable de fomentar los procesos de transferencia de resultados de investigación y de conocimiento</t>
  </si>
  <si>
    <t>10.    Articular y fortalecer los procesos de divulgación académica, investigativa y de creación naturales de los procesos editoriales en los diferentes ámbitos, para de esta forma consolidar una Universidad vinculada de forma activa con las comunidades académicas y la sociedad en general.</t>
  </si>
  <si>
    <t>CIDC
Sección de Publicaciones</t>
  </si>
  <si>
    <t>• Número de libros editados y publicados
• Número de revistas editadas y publicadas</t>
  </si>
  <si>
    <t>Articular y fortalecer los procesos de divulgación académica, investigativa y de creación naturales de los procesos editoriales en los diferentes ámbitos</t>
  </si>
  <si>
    <t>Desarrollar e implementar el modelo de triple hélice (universidad, gobierno, industria) en el marco de las nuevas leyes de ciencia, tecnología e innovación.</t>
  </si>
  <si>
    <t>• Número de proyectos o convenios gestionados/presentados en el marco  de las nuevas leyes de ciencia, tecnología e innovación.</t>
  </si>
  <si>
    <t>Vicerrectoría Académica
CERI
CIDC
IDEXUD</t>
  </si>
  <si>
    <t xml:space="preserve">Rectoría
Vicerrectoría Académica
Centro de Bienestar Institucional. </t>
  </si>
  <si>
    <t>Construir/Actualizar la política de bienestar institucional extensivo y participativo.</t>
  </si>
  <si>
    <t xml:space="preserve">• Avance en la construcción/actualización con política de Bienestar Institucional  </t>
  </si>
  <si>
    <t>Construir/Actualizar el programa/plan de clima organizacional para consolidar un ambiente laboral armónico, desarrollo de competencias para buenas prácticas para la convivencia e identidad institucional.</t>
  </si>
  <si>
    <t xml:space="preserve">• Avance de la implementación del programa/plan </t>
  </si>
  <si>
    <t xml:space="preserve">• Población alcanzada
• Medios empleados para la divulgación
• Avance en la formulación del Plan Maestro de Bienestar. </t>
  </si>
  <si>
    <t xml:space="preserve">Diseñar estrategias de divulgación de los servicios de bienestar.
Formulación del Plan de Maestro de Bienestar de acuerdo con lo establecido en el Plan Maestro de Espacios Educativos. </t>
  </si>
  <si>
    <t xml:space="preserve">Centro de Bienestar Institucional
Oficina Asesora de Planeación y Control </t>
  </si>
  <si>
    <t>Incorporar los TIC para la gestión de información para la  caracterización con transparencia de la información y las acciones realizadas para los diversos apoyos brindados a la comunidad universitaria.</t>
  </si>
  <si>
    <t xml:space="preserve">• Avance en la consolidación y puesta en funcionamiento del sistema. </t>
  </si>
  <si>
    <t>Centro de Bienestar Institucional
Oficina Asesora de Sistemas</t>
  </si>
  <si>
    <t>Fortalecer el sistema de evaluación de los servicios de bienestar. 
Establecer acciones de mejora a partir de los resultados del ejercicio de evaluación que permitan la actualización de los servicios o la identificación de nuevos.</t>
  </si>
  <si>
    <t xml:space="preserve">Centro de Bienestar Institucional </t>
  </si>
  <si>
    <t>•  Promedio de satisfacción  a los servicios ofrecidos por estamento
• Porcentaje de acciones implementadas=(Acciones adicionadas/Acciones identificadas por los usuarios de los servicios)*10</t>
  </si>
  <si>
    <t xml:space="preserve">Revisar y proponer nuevas escuelas de práctica deportiva que incrementen la participación de miembros de la comunidad universitaria en el marco de la política de Bienestar Institucional. </t>
  </si>
  <si>
    <t>• Nuevas escuelas deportivas implementadas/Escuelas propuestas</t>
  </si>
  <si>
    <t xml:space="preserve">Rectoría
Oficina Asesora de Planeación y Control </t>
  </si>
  <si>
    <t xml:space="preserve">• Avance en la gestión de cada proceso priorizado
Indicador de resultado:
Número de espacios incorporados en las planta física de la Universidad en las localidades de la Ciudad 
(Inicialmente el predio de Artes y otro)
</t>
  </si>
  <si>
    <r>
      <t xml:space="preserve">1.      Ubicar estratégicamente Sedes de la Universidad que permitan ampliar cobertura, ampliar la oferta de pregrados, postgrados, investigación y extensión en las localidades de </t>
    </r>
    <r>
      <rPr>
        <sz val="11"/>
        <color rgb="FFFF0000"/>
        <rFont val="Calibri"/>
        <family val="2"/>
        <scheme val="minor"/>
      </rPr>
      <t>Suba y Engativá.</t>
    </r>
  </si>
  <si>
    <t xml:space="preserve">Consolidar y gestionar la aprobación del Plan Maestro de Espacios Educativos.
Avanzar en la formulación de los Planes Maestros de cada Facultad, Bienestar, Bibliotecas y Laboratorios. </t>
  </si>
  <si>
    <t>• Nivel de avance en la construcción y aprobación del PMEE (a partir de la hoja de ruta)
• Número de Planes Maestros formulados en el componente de infraestructura</t>
  </si>
  <si>
    <t>Rectoría
Oficina Asesora de Planeación y Control 
Vicerrectoría Académica
Decanaturas de Facultad</t>
  </si>
  <si>
    <t>Garantizar la apropiación y ejecución de los Recursos del Sistema General de Regalías para el desarrollo del Proyecto del Edificio de Ingeniería.</t>
  </si>
  <si>
    <t xml:space="preserve">• Avance en la ejecución del proyecto de la Facultad de Ingeniería. 
Meta: De acuerdo con el proceso contractual </t>
  </si>
  <si>
    <t xml:space="preserve">• Avance en la estructuración y creación del Parque Tecnológico de la U. Distrital </t>
  </si>
  <si>
    <t xml:space="preserve">• Avance en la creación y aprobación de la política. </t>
  </si>
  <si>
    <t>Rectoría 
Vicerrectoría Académica
Centro de Relaciones Interinstitucionales</t>
  </si>
  <si>
    <t>Asignar recursos para la interinstitucionalización e internacionalización, con el fin de cumplir las metas del Plan Estratégico de Desarrollo de la UDFJC 2018 -2030.</t>
  </si>
  <si>
    <t>• Tasa crecimiento del presupuesto asignado.
• Ejecución presupuestal del CERI.</t>
  </si>
  <si>
    <t>Rectoría 
Centro de Relaciones Interinstitucionales
CIDC
Decanaturas
Centro de Bienestar Institucional</t>
  </si>
  <si>
    <t>17. Alcanzar una cobertura  en el 70% de los docentes en el manejo de tecnologías de la información y comunicación.</t>
  </si>
  <si>
    <t xml:space="preserve">Vicerrectoría Académica
Centro de Bienestar Institucional </t>
  </si>
  <si>
    <t xml:space="preserve">Apoyar la generación de competencias blandas y duras en TIC a estudiantes, docentes y administrativos de la Universidad a través de procesos de formación y transferencia de conocimiento. </t>
  </si>
  <si>
    <t>• Número de docentes formados en competencias blandas en TIC
• Número de docentes formados en competencias duras en TIC
(Aplicaría para estudiantes y Administrativos)</t>
  </si>
  <si>
    <t>PlanesTIC
Oficina Asesora de Sistemas</t>
  </si>
  <si>
    <t>Oficina de Docencia</t>
  </si>
  <si>
    <t>Desarrollar programas de pregrado y posgrado con modalidad virtual.</t>
  </si>
  <si>
    <t xml:space="preserve">Número de programas en modalidad virtual </t>
  </si>
  <si>
    <t>PlanesTIC
RITA
Red de Datos
Oficina Asesora de Sistemas</t>
  </si>
  <si>
    <t xml:space="preserve">Necesitamos: Herramientas, tutoriales actuales
Número de contenidos desarrollados </t>
  </si>
  <si>
    <t>Construir contenidos con plataformas abiertas tipo MOOC y procesos de certificación.</t>
  </si>
  <si>
    <t>Número de contenidos desarrollados</t>
  </si>
  <si>
    <t>Vicerrectoría Académica
PlanesTIC</t>
  </si>
  <si>
    <t>Apoyar procesos de formación en m-learning (mobil learning), blockchain, Gamificación, micro-credenciales.</t>
  </si>
  <si>
    <t>PlanesTIC
RITA
I3+
Oficina Asesora de Sistemas</t>
  </si>
  <si>
    <t>• Cursos
• Estrategias de blockchain
• Implementación de gamificación
•</t>
  </si>
  <si>
    <t>Generar sinergia entre la Universidad y el sector empresarial, industrial, educativo y de salud que propenda por la solución de necesidades y problemas de la sociedad.</t>
  </si>
  <si>
    <t>Número de convenios</t>
  </si>
  <si>
    <t>Vicerrectoría Académica
CERI
CIDC
IDEXUD
IPAZUD</t>
  </si>
  <si>
    <t xml:space="preserve">Analizar las alternativas de localización de sedes de la Universidad en el mediano plazo y priorizar aquellas con mayor viabilidad. 
Gestionar espacios (arriendo, comodato, adquiridos y demás) para el eventual  funcionamiento de la Universidad en las localidades priorizadas. </t>
  </si>
  <si>
    <t>Vicerrectoría Académica
Decanaturas de Facultad
Vicerrectoría Administrativa y Financiera</t>
  </si>
  <si>
    <t>Liderar el proceso de formulación de los ajustes a los estatutos derivados ( Estudiantil, docente, de personal administrativo, de planeación, financiero, etc.).
Promover la aprobación ajuste de los estatutos complementarios de cara al ajuste del Estatuto General.
Articular y adaptar las Unidades Académicas y Administrativas de acuerdo con lo establecido en los estatutos derivados. (Implementación)</t>
  </si>
  <si>
    <t>• Cumplimiento y avance de los compromisos adquiridos en los espacios de participación con las instancias.</t>
  </si>
  <si>
    <t>21. Aumentar el porcentaje de revistas científicas indexadas en índices reconocidos.</t>
  </si>
  <si>
    <t xml:space="preserve">¿Cuáles son las estrategias que se considerarán para fortalecer las instancias de conocimiento, sobre todo teniendo en cuenta el Acuerdo 001 de 2021 del Consejo Académico. </t>
  </si>
  <si>
    <t xml:space="preserve">• Número de semilleros de investigación institucionalizados
• Número de grupos de investigación categorizados por MINCIENCIAS (según nivel A, A1, B,C y reconocidos)
• Número/proporción de revistas indexadas
• Número de publicaciones (producción académica) </t>
  </si>
  <si>
    <t xml:space="preserve">• Fortalecer el relacionamiento con el sector productivo, gubernamental y la sociedad en general, para el fomento del desarrollo social y económico de la ciudad-región y el país. </t>
  </si>
  <si>
    <t xml:space="preserve">Centro de Bienestar Institucional
División de Recursos Humanos
Subsistema de Seguridad y Salud en el Trabajo </t>
  </si>
  <si>
    <t>Establecer un sistema de caracterización y priorización para identificar los estudiantes y docentes, que de acuerdo con sus condiciones socioeconómicas y académicas, requieren acceso y dotación de equipos de computo e implementar un programa de  acceso y dotación.</t>
  </si>
  <si>
    <t>• Número de estudiantes apoyados en dotación de equipos (dispositivo electrónico)
• Número de docentes apoyados en dotación de equipos (dispositivo electrónico)</t>
  </si>
  <si>
    <t>• Personas beneficiadas por los programas de inclusión orientadas a minorías étnicas de la Institución.
• Personas beneficiadas por los programas de inclusión orientadas a personas con discapacidad.
• Personas beneficiadas por los programas de género y diversidades de la Institución.</t>
  </si>
  <si>
    <t xml:space="preserve">Diseñar contenidos de microaprendizaje a través de píldoras de conocimiento que incluyan herramientas, tutoriales, gamificaciones, así como contenidos didácticos desde la transformación digital para mejorar el uso y apropiación de las TIC. </t>
  </si>
  <si>
    <t>N°</t>
  </si>
  <si>
    <t>Continuar los procesos para el fortalecimiento de la estabilidad institucional a través de consolidar estrategias y formas de gobierno institucional y gobernabilidad.</t>
  </si>
  <si>
    <t>Atender las recomendaciones en relación con realizar un buen reporte de las cifras que permita la obtención de cifras más confiables en los sistemas de información del MEN.</t>
  </si>
  <si>
    <t>Continuar integrando el quehacer universitario con las evaluaciones del contexto, para responder de manera pertinente a las necesidades y requerimientos de los diferentes sectores, sociales, económicos, ambientales, culturales, entre otros.</t>
  </si>
  <si>
    <t>Generar estrategias integrales para el mejoramiento de la enseñanza y el aprendizaje del inglés y continuar fortaleciendo el flujo recíproco de relacionamiento estratégico interinstitucional e internacional con fines de cooperación para la práctica científica y la creación en artes.</t>
  </si>
  <si>
    <t>Continuar fortaleciendo la política y los procesos de cualificación del profesorado a los más altos niveles y también generando espacios de formación en temas pertinentes relacionados con su actividad docente.</t>
  </si>
  <si>
    <t>Considerar la gestión de la investigación como un ecosistema conectado con el Centro de Investigaciones y Desarrollo Científico, la OTRI, las unidades académicas, las redes y los institutos, entre otros.</t>
  </si>
  <si>
    <t>Continuar fortaleciendo la investigación y crear mecanismos y condiciones para la vinculación de los profesores ocasionales de medio tiempo y completo a esta actividad y favorecer la gestión de recursos externos para la investigación.</t>
  </si>
  <si>
    <t>Prioritariamente ampliar la planta profesoral con un mayor número de profesores de carrera que a 2015-1 era del orden del 35% y para 2020-2 era del 33%, con el fin de disponer de una mayor dedicación del cuerpo profesoral a la Institución para garantizar mayor calidad en las labores formativas, de investigación, extensión y culturales y mejorar la relación de estudiantes por profesores de tiempo completo que a la fecha se encuentra en 36.</t>
  </si>
  <si>
    <t>Continuar con el proceso ya iniciado de actualización de la normatividad curricular para posibilitar mayores niveles de flexibilidad, interdisciplinariedad e internacionalización y avanzar en las propuestas de co-titulación y/o doble titulación.</t>
  </si>
  <si>
    <t>Fortalecer las estrategias y acciones institucionales para mejorar la tasa global de graduación acumulada que para el semestre 11 es de 10,55% y el semestre 13 de 20,07% frente a la media nacional que es de 24,73% y 33,77% respectivamente.</t>
  </si>
  <si>
    <t>Propuesta de gobierno - Rector Giovanny Tarazona</t>
  </si>
  <si>
    <t>Acreditación institucional y aseguramiento de la calidad</t>
  </si>
  <si>
    <t>Reforma orgánica de la Universidad Distrital</t>
  </si>
  <si>
    <t>Investigación - creación e innovación y responsabilidad social y ambiental</t>
  </si>
  <si>
    <t xml:space="preserve">Bienestar </t>
  </si>
  <si>
    <t>Mediación Tecnológica</t>
  </si>
  <si>
    <t>Gestión de Interinstitucionalización e Internacionalización</t>
  </si>
  <si>
    <t>Fortalecer las estrategias y acciones institucionales para disminuir la tasa global de deserción anual estudiantil y favorecer una mayor apropiación de las múltiples iniciativas para garantizar la permanencia en condiciones de calidad. Según Spadies a 2018-2 la deserción institucional es de 20, 66% por encima del promedio nacional de 12,16%.</t>
  </si>
  <si>
    <t>• Meta 13: Disminuir la tasa de deserción semestral en al 13,6% en programas de pregrado.</t>
  </si>
  <si>
    <t>• Lineamiento Estratégico 1</t>
  </si>
  <si>
    <t>•  Lineamiento Estratégico 2</t>
  </si>
  <si>
    <t>•  Meta 16: Aumentar la tasa de graduación oportuna en pregrados al 70%.</t>
  </si>
  <si>
    <t>*No se identifica de manera especifica</t>
  </si>
  <si>
    <t>• Meta 9: Aumentar el índice de movilidad internacional anual mínimo al 1,3% de la población estudiantil.
• Meta 8: Lograr que 20% de la oferta académica de pregrado y posgrado permita la doble titulación o cotitulación.</t>
  </si>
  <si>
    <t>• Meta 30. Aumentar al 100% la vinculación de empleados administrativos conforme al sistema de carrera administrativa.</t>
  </si>
  <si>
    <t>• Lineamiento Estratégico 4</t>
  </si>
  <si>
    <t>Todo</t>
  </si>
  <si>
    <t>• Lineamiento Estratégico 3</t>
  </si>
  <si>
    <t>Todas</t>
  </si>
  <si>
    <t xml:space="preserve">Investigación - creación e innovación y responsabilidad social y ambiental
</t>
  </si>
  <si>
    <t>3.       Consolidar el Plan Maestro de Investigaciones sustentado en las fortalezas derivadas de las capacidades y fortalezas institucionales.</t>
  </si>
  <si>
    <t xml:space="preserve">10.    Fomentar programa de becas para maestrías y doctorados con recursos propios y externos. </t>
  </si>
  <si>
    <t>• Meta 26. Aumentar al 50% el número de docentes con Doctorado.</t>
  </si>
  <si>
    <t>• Meta 11. Fortalecer y ampliar las competencias en una segunda lengua en los estudiantes de pregrado de la Universidad Distrital de acuerdo con lo estipulado en el Marco Común Europeo (MCE).</t>
  </si>
  <si>
    <t>Evaluar la prestación de los servicios de Bienestar para estudiantes de los posgrados y programas nocturnos e implementar acciones diferenciadas de acuerdo el nivel de formación y el momento en el ciclo de formación. Revisar las condiciones de prestación de los servicios en las diferentes sedes para garantizar condiciones similares de atención.</t>
  </si>
  <si>
    <r>
      <t xml:space="preserve">Bienestar
</t>
    </r>
    <r>
      <rPr>
        <sz val="11"/>
        <color rgb="FFFF0000"/>
        <rFont val="Calibri"/>
        <family val="2"/>
        <scheme val="minor"/>
      </rPr>
      <t xml:space="preserve">
Podría ser mas de uno*</t>
    </r>
  </si>
  <si>
    <r>
      <t xml:space="preserve">Bienestar
</t>
    </r>
    <r>
      <rPr>
        <sz val="11"/>
        <color rgb="FFFF0000"/>
        <rFont val="Calibri"/>
        <family val="2"/>
        <scheme val="minor"/>
      </rPr>
      <t xml:space="preserve">
*No se identifica de manera especifica</t>
    </r>
  </si>
  <si>
    <r>
      <t xml:space="preserve">Mediación Tecnológica
</t>
    </r>
    <r>
      <rPr>
        <sz val="11"/>
        <color rgb="FFFF0000"/>
        <rFont val="Calibri"/>
        <family val="2"/>
        <scheme val="minor"/>
      </rPr>
      <t>Podría ser mas de uno*</t>
    </r>
  </si>
  <si>
    <t>Continuar fortaleciendo el posicionamiento de los grupos de investigación y las revistas, proseguir con el fortalecimiento de la capacidad investigativa de los profesores, el incremento en las publicaciones en revistas indexadas, la generación de patentes y modelos de utilidad, así como con el compromiso de una producción científica que contribuya a la solución de los problemas de la ciudad y la región.</t>
  </si>
  <si>
    <t>• Meta 1: Mantener y elevar la acreditación institucional de alta calidad y alcanzar el reconocimiento internacional.</t>
  </si>
  <si>
    <t xml:space="preserve">• Lineamiento Estratégico 1
• Lineamiento Estratégico </t>
  </si>
  <si>
    <t>• Meta 14: Modernizar la organización académica y administrativa de la institución.
• Meta 40. Establecer la adecuada asignación de funciones, competencias, seguridad jurídica y equilibrio institucional en la organización, gobierno y gestión de la Universidad.</t>
  </si>
  <si>
    <t>• Meta 20: Clasificarse entre las 10 mejores IES publicas colombianas según indicadores en investigación.
• Meta 21: Aumentar el porcentaje de revistas científicas indexadas en índices reconocidos.
• Meta 22: Aumentar la producción científica anual publicada en revistas indexadas.</t>
  </si>
  <si>
    <t>Continuar con la adecuación de espacios físicos que respondan a las necesidades de las facultades en cafeterías, espacios deportivos e infraestructura requerida para personas con limitaciones físicas, auditivas y visuales.</t>
  </si>
  <si>
    <t>Implementar las acciones y recomendaciones de mejoramiento propuestas en el documento de Autoevaluación institucional y las recomendaciones del CNA, con el fin de fortalecer el mejoramiento continuo de la institución.</t>
  </si>
  <si>
    <t xml:space="preserve">Revisar las políticas institucionales a la luz del Decreto 1330 de 2019 que permita responder a las demandas sociales, culturales y ambientales en consonancia con nuestro horizonte de desarrollo.
Actualizar e institucionalizar los procedimientos de XXX a la luz del decreto 1330 de 2019. </t>
  </si>
  <si>
    <t>Gestionar acreditaciones internacionales para nuevos programas de pregrado, maestrías y doctorados.</t>
  </si>
  <si>
    <t>Infraestructura física</t>
  </si>
  <si>
    <t>Renovar las acreditaciones de alta calidad que se han logrado a nivel nacional e internacional a nivel de los programas existentes en pregrado y postgrado.</t>
  </si>
  <si>
    <t>Creación de nuevas facultades que permitan cerrar el ciclo formativo.</t>
  </si>
  <si>
    <t>Fortalecimiento de la planta de personal docente con el desarrollo de concursos abiertos en un numero de ciento veinte (120) durante los cuatro (4) años con perfiles de Doctorado en un 80% y maestría en un 20%.</t>
  </si>
  <si>
    <t>Infraestructura Física</t>
  </si>
  <si>
    <t>Acción en el PI</t>
  </si>
  <si>
    <t>11.170 acumulados al cierre de 2021 distribuidos así; 
2018: 9.364
2020: 1.806</t>
  </si>
  <si>
    <t>Mejorar el posicionamiento en los ranking internacionales en el QS World University Rankings</t>
  </si>
  <si>
    <t>Rectoría
Vicerrectoría Académica</t>
  </si>
  <si>
    <t>CERI
Vicerrectoría Académica</t>
  </si>
  <si>
    <t xml:space="preserve">Posición en el ranking QS </t>
  </si>
  <si>
    <t>Avance en la consolidación del Programa Institucional de Plurilingüismo de la Universidad Distrital</t>
  </si>
  <si>
    <t>Consolidar el Programa Institucional de Plurilingüismo como la estrategia institucional de apropiación de la segunda lengua como parte activa de la gestión curricular y como condición para la titulación y la evaluación.</t>
  </si>
  <si>
    <t>Vicerrectoría Académica
Instituto de Lenguas de la Universidad Distrital</t>
  </si>
  <si>
    <t>Diseñar y ejecutar un programa formación para docentes, estudiantes y administrativos, en el marco el Programa Institucional de Plurilingüismo.</t>
  </si>
  <si>
    <t>• Docentes formados por el programa 
• Administrativosformados por el programa
• Estudiantes formados por el programa</t>
  </si>
  <si>
    <t>Número de estudiantes de colegios distritales formados/ beneficiados del programa</t>
  </si>
  <si>
    <t>Rectoría 
Vicerrectoría Académica</t>
  </si>
  <si>
    <t xml:space="preserve">* Iniciativa que responde a las tendencias nacionales e internacionales referente a la Transformación Digital. </t>
  </si>
  <si>
    <t xml:space="preserve">Estructurar y conformar el Comité de Transformación Digital con el fin de promover aprovechamiento de las tecnologías emergentes y disruptivas para consolidar ciudadanos competitivos, proactivos, e innovadores, que permitan a la Universidad alcanzar desarrollo social, gobernanza, garantía de derechos, satisfacción de necesidades, prestación de servicios de calidad y
mejoramiento de las condiciones de vida de la sociedad. 
Definir la hoja de ruta de la transformación digital.
Priorizar la racionalización de tramites y otros procedimientos administrativos e implementar acciones orientadas a su virtualización. </t>
  </si>
  <si>
    <r>
      <t xml:space="preserve">Avance en la consolidación del Comité (Acto administrativo) = </t>
    </r>
    <r>
      <rPr>
        <sz val="11"/>
        <color theme="1"/>
        <rFont val="Calibri"/>
        <family val="2"/>
      </rPr>
      <t>∑ avance de la etapa * ponderación</t>
    </r>
    <r>
      <rPr>
        <sz val="11"/>
        <color theme="1"/>
        <rFont val="Calibri"/>
        <family val="2"/>
        <scheme val="minor"/>
      </rPr>
      <t xml:space="preserve">
Avance en la hoja de ruta
(Trámites y OPA's racionalizados/trámites y OPA's priorizados)*100</t>
    </r>
  </si>
  <si>
    <t xml:space="preserve">Rectoría
Vicerrectoría Académica
Oficina Asesora de Planeación y Control </t>
  </si>
  <si>
    <t>Rectoría
Vicerrectoría Académica
Oficina Asesora de Planeación y Control 
CERI
Oficina Asesora de Sistemas
Red de Datos UDNET</t>
  </si>
  <si>
    <t>Plan Estratégico de Desarrollo</t>
  </si>
  <si>
    <t>Formular el Plan de Mejoramiento Institucional derivado de las observaciones establecidas por el CNA en la Resolución 023653 del 2021 del Ministerio de Educación Nacional, MEN, Por medio de la cual se renueva la Acreditación de Alta Calidad de la Universidad Distrital.</t>
  </si>
  <si>
    <t>Línea base (2021)</t>
  </si>
  <si>
    <t>N/A</t>
  </si>
  <si>
    <t>Avance en la implementación del Plan de Mejoramiento Institucional = (Nivel de avance de las metas/total de metas)*100</t>
  </si>
  <si>
    <t>Plazas provistas durante el cuatrienio = ∑ plazas docentes provistas durante el cuatrienio</t>
  </si>
  <si>
    <t>Tipo de indicador</t>
  </si>
  <si>
    <t>Gestión</t>
  </si>
  <si>
    <t>Resultados/ Impacto</t>
  </si>
  <si>
    <t>Vicerrectoría Administrativa y Financiera</t>
  </si>
  <si>
    <t xml:space="preserve">Fortalecer el relacionamiento con el sector productivo, gubernamental y la sociedad en general, para el fomento del desarrollo social y económico de la ciudad-región y el país. </t>
  </si>
  <si>
    <t>El Centro de Bienestar presta servicios en el marco de 6 grupos: Desarrollo Humano, Desarrollo Socioeconómico, Deportes, Egresados, Socioambiental, Cultura.</t>
  </si>
  <si>
    <t>Nivel de avance en la construcción y aprobación del PMEE (a partir de la hoja de ruta)</t>
  </si>
  <si>
    <t>Actualización de lineamientos formativos soportado en las mejores prácticas de diseño curricular con inclusión de mediación tecnológica y educaicón virtual.</t>
  </si>
  <si>
    <t>Número de programas que actualizan su plan de estudios</t>
  </si>
  <si>
    <t>Articulado con la Meta 17 del PED, articula con las acciones plnateadas en el LA 1</t>
  </si>
  <si>
    <t xml:space="preserve">• políticas que mejoren la vinculación docente (acto administrativo) 
a. Abrir concursos </t>
  </si>
  <si>
    <t>Articulado a la meta de aumento de docentes de planta</t>
  </si>
  <si>
    <t xml:space="preserve">Elaborar la propuesta del Plan de Ampliación y Actualización de la Planta Administrativa. </t>
  </si>
  <si>
    <t xml:space="preserve">Establecer un proyecto de articulación entre los diferentes niveles de formación y niveles académicos. </t>
  </si>
  <si>
    <t>meta del PED 5</t>
  </si>
  <si>
    <t xml:space="preserve">Consolidar el Plan de formación o políticas de apoyo a los docentes.
Establecer un programa de becas para estudiantes orientado a Adicionar para estudiantes. </t>
  </si>
  <si>
    <t xml:space="preserve">Políticas del sistema de posgrados. 
Consolidar una Unidad de dirección del sistema de posgrados. </t>
  </si>
  <si>
    <t xml:space="preserve">Consolidar el Observatorio de Empleabilidad y los convenios especificos de prácticas empresariales de estudiantes de últimos semestres. </t>
  </si>
  <si>
    <t>Consolidar el Plan Estratégico de Investigaciones (ADN de la investigación). 
Establecer mecanismos de priorización de inversión en proyectos de investigación-creación conforme a los impactos planteados en términos del sector productivo y a la sociedad.  (criterios y procedimientos).
Creación del Instituto de Innovación y de Emprendimiento</t>
  </si>
  <si>
    <t>Nodos</t>
  </si>
  <si>
    <t>Establecer un programa de incentivos o estímulos que reconozcan la producción de contenidos y recursos digitales de los docentes. (reglamentación interna del 1279 y procedimiento)</t>
  </si>
  <si>
    <t>Centro de Bienestar Institucional
CADEP - ACACIA
NEEIS
Oficina Asesora de Sistemas
Facultades</t>
  </si>
  <si>
    <r>
      <rPr>
        <sz val="11"/>
        <color theme="1"/>
        <rFont val="Calibri"/>
        <family val="2"/>
        <scheme val="minor"/>
      </rPr>
      <t xml:space="preserve">Caracterizar la población objetivo con el fin de identificar aquellos estudiantes con necesidades especiales. </t>
    </r>
    <r>
      <rPr>
        <sz val="11"/>
        <color rgb="FFFF0000"/>
        <rFont val="Calibri"/>
        <family val="2"/>
        <scheme val="minor"/>
      </rPr>
      <t xml:space="preserve">
Es necesario establecer un diagnóstico de la población estudiantil, docente y administrativa que permita identificar minorías (étnicas, género), así como población con discapacidad (visual, auditiva, locomoción, etc.).
Identificar la existencia de programas para el uso y apropiación tecnológica al interior de la Universidad y con instituciones externas (por ejemplo el Centro de Relevo).</t>
    </r>
  </si>
  <si>
    <t xml:space="preserve">Crear un programa de articulación con la educación media que permita ofertar programas en STEM-I.
¿Cuál sería la apuesta de la Universidad para dar cumplimiento al programa?.
</t>
  </si>
  <si>
    <t xml:space="preserve">1.      Ubicar estratégicamente Sedes de la Universidad que permitan ampliar cobertura, ampliar la oferta de pregrados, postgrados, investigación y extensión en las localidades que conforman el borde nor-occidental de la ciudad. </t>
  </si>
  <si>
    <t xml:space="preserve">• Modelar la estructura del Parque Tecnológico de la Universidad Distrital. 
• Articular la propuesta de parque tecnológico a través de alianzas con IES públicas de Bogotá-región y el sector productivo. </t>
  </si>
  <si>
    <t>Retomamos los del PED</t>
  </si>
  <si>
    <t xml:space="preserve">Crear y gestionar la aprobación de la política de interinstitucionalización e internacionalización de la UDFJC como un macroproceso de direccionamiento estratégico, para la formación integral de profesionales, investigadores y creadores.
Implementar las acciones previstas en la política. </t>
  </si>
  <si>
    <t>• Avance en la implementación</t>
  </si>
  <si>
    <t>3. Fortalecer las acciones para la interinstitucionalización e internacionalización, con el fin de cumplir las metas del Plan Estratégico de Desarrollo de la UDFJC 2018 -2030.</t>
  </si>
  <si>
    <t>Desarrollar la interacción de pares académicos nacionales e internacionales a través de espacios académicos mediados por TIC.</t>
  </si>
  <si>
    <t>Número de espacios académicos con clases espejo</t>
  </si>
  <si>
    <t xml:space="preserve">Crear y gestionar la aprobación de la política de interinstitucionalización e internacionalización de la UDFJC como un macroproceso de direccionamiento estratégico, para la formación integral de profesionales, investigadores y creadores. la cual contempla en su lineamiento de  Programa Institucional de Plurilingüismo.
Implementar las acciones previstas en la política. </t>
  </si>
  <si>
    <t>Actualización de lineamientos formativos soportado en las mejores prácticas de diseño curricular con inclusión de mediación tecnológica y educación virtual.</t>
  </si>
  <si>
    <t xml:space="preserve">Consolidar una Unidad de dirección del sistema de posgrados. </t>
  </si>
  <si>
    <t>Crear un programa de articulación con la educación media que permita ofertar programas en STEM-I.</t>
  </si>
  <si>
    <t>Posicionar en los primeros 10 lugares institucionalmente a la Universidad Distrital Francisco José de Caldas en los ranking nacionales.</t>
  </si>
  <si>
    <t xml:space="preserve">Promover la renovación de las acreditaciones de alta calidad que se han logrado a nivel nacional e internacional de los programas existentes en pregrado y postgrado. </t>
  </si>
  <si>
    <t xml:space="preserve">Gestionar acreditaciones nacionales e internacionales para programas de pregrado, maestrías y doctorados que no cuenten con las mismas. </t>
  </si>
  <si>
    <t>Formular y avanzar en la implementación del Plan de Mejoramiento Institucional derivado de las observaciones establecidas por el CNA en la Resolución 023653 del 2021 del Ministerio de Educación Nacional, MEN, Por medio de la cual se renueva la Acreditación de Alta Calidad de la Universidad Distrital.</t>
  </si>
  <si>
    <t xml:space="preserve">Estructurar el sistema de posgrados de la Universidad. </t>
  </si>
  <si>
    <t>Crear el Observatorio de Empleabilidad y los convenios específicos de prácticas empresariales de estudiantes de últimos semestres.</t>
  </si>
  <si>
    <t>Estructuración del Fondo de Investigaciones que garantice la financiación de los programas y proyectos de investigación, así como apoyo a las iniciativas de las estructuras de investigación soportadas en grupos, semilleros e investigadores.</t>
  </si>
  <si>
    <t>Estructurar y reglamentar el fondo de investigaciones de la Universidad Distrital.</t>
  </si>
  <si>
    <t>Promoción de la oferta académica de programas de pregrado y posgrado con modalidad virtual, que respondan Objetivos de Desarrollo Sostenible (Agenda 2030) con cobertura nacional e internacional.</t>
  </si>
  <si>
    <t>Estructurar y gestionar la aprobación de programas de pregrado y posgrado con modalidad virtual.</t>
  </si>
  <si>
    <t xml:space="preserve">Vicerrectoría Académica
Decanaturas de Facultad
Vicerrectoría Administrativa y Financiera
Oficina Asesora de Planeación y Control </t>
  </si>
  <si>
    <t>Rectoría
Vicerrectoría Académica
Vicerrectoría Administrativa y Financiera
Secretaría General
Oficina Asesora de Planeación y Control</t>
  </si>
  <si>
    <t xml:space="preserve">4. Talento Humano y Bienestar </t>
  </si>
  <si>
    <t>7. Interinstitucionalización e Internacionalización</t>
  </si>
  <si>
    <t>2. Modernización Institucional</t>
  </si>
  <si>
    <t>1. Aseguramiento de la calidad</t>
  </si>
  <si>
    <t>Ejes transformadores</t>
  </si>
  <si>
    <t>Rectoría 
Vicerrectoría Académica
Vicerrectoría Administrativa y Financiera
Oficina Asesora de Planeación y Control 
Decanaturas de Facultad</t>
  </si>
  <si>
    <t>Revisión de políticas institucionales a la luz del Decreto 1330 de 2019 que permita responder a las demandas sociales, culturales y ambientales en consonancia con nuestro horizonte de desarrollo.</t>
  </si>
  <si>
    <t>1.1</t>
  </si>
  <si>
    <t>1.2</t>
  </si>
  <si>
    <t xml:space="preserve">Fomento al reconocimiento de la calidad de los programas de la Institución a través de acreditaciones nacionales e internacionales. </t>
  </si>
  <si>
    <t>Modelo de acreditación actual</t>
  </si>
  <si>
    <t>Decanaturas de Facultad</t>
  </si>
  <si>
    <t>1.3</t>
  </si>
  <si>
    <t>1.4</t>
  </si>
  <si>
    <t>1.5</t>
  </si>
  <si>
    <t>1.6</t>
  </si>
  <si>
    <t>1.7</t>
  </si>
  <si>
    <t xml:space="preserve">Creación de nuevas facultades que permitan cerrar el ciclo formativo. </t>
  </si>
  <si>
    <t>1.8</t>
  </si>
  <si>
    <t>Fortalecimiento vertical de la oferta académica, creación de nuevos Doctorados y fortalecimiento de los existentes para fomentar la generación de nuevo conocimiento.</t>
  </si>
  <si>
    <t xml:space="preserve">Estructurar y viabilizar la creación de nuevos programas de doctorado que articulen verticalmente la oferta académica de la Institución. </t>
  </si>
  <si>
    <t>1.9</t>
  </si>
  <si>
    <t>1.10</t>
  </si>
  <si>
    <t>Creación de redes que vinculen las acciones de empleabilidad entre los egresados de la Universidad en alianza con el sector productivo para implementar convenios Universidad, Empresa, Estado en beneficio de la comunidad universitaria.</t>
  </si>
  <si>
    <t>El Plan indicativo 2022-2025 se despliega a partir de la siguiente estructura:</t>
  </si>
  <si>
    <t>Lineamientos de acción</t>
  </si>
  <si>
    <t>Aseguramiento de la calidad</t>
  </si>
  <si>
    <t>2.1</t>
  </si>
  <si>
    <t xml:space="preserve">Formular y desarrollar un proyecto para la construcción, apropiación y gestión de la identidad institucional en su completitud. </t>
  </si>
  <si>
    <t xml:space="preserve">Construir un modelo de gestión que articule lo administrativo, académico y  social de la Universidad Distrital Francisco Jose de Caldas coherente con su identidad, fortaleciendo la gestión del conocimiento y su apropiación. </t>
  </si>
  <si>
    <t>Revisar, evaluar y actualizar la Planeación Estratégica Institucional.</t>
  </si>
  <si>
    <t>2.2</t>
  </si>
  <si>
    <t>2.3</t>
  </si>
  <si>
    <t>2.4</t>
  </si>
  <si>
    <t>2.5</t>
  </si>
  <si>
    <t>2.6</t>
  </si>
  <si>
    <t>Compromiso decisivo de la administración con la implementación de la Reforma del Estatuto General de la Universidad Distrital, que sea aprobada por el Consejo Superior Universitario a partir de la propuesta entregada por la Asamblea Universitaria y los demás esfuerzos institucionales que se han gestado para tal fin.</t>
  </si>
  <si>
    <t>2.7</t>
  </si>
  <si>
    <t>3.1</t>
  </si>
  <si>
    <t>3.2</t>
  </si>
  <si>
    <t>3.3</t>
  </si>
  <si>
    <t>3.4</t>
  </si>
  <si>
    <t>3.5</t>
  </si>
  <si>
    <t>3.6</t>
  </si>
  <si>
    <t>Fomento del relacionamiento con el sector productivo y la sociedad en general desde la búsqueda de estrategias orientadas a lograr la incorporación de los resultados obtenidos en proyectos de investigación-creación como elementos clave para fomentar el desarrollo económico y social de la ciudad, la región y el país.</t>
  </si>
  <si>
    <t xml:space="preserve">Actualizar la política de bienestar institucional extensivo  y participativo que permita la implementación del Sistema de Bienestar Universitario Integral (incluyendo las políticas de bienestar social y laboral). </t>
  </si>
  <si>
    <t>Establecer, asignar recursos, ejecutar y hacer seguimiento los planes y programas de ley en materia de bienestar social y laboral.</t>
  </si>
  <si>
    <t>4.1</t>
  </si>
  <si>
    <t>Desarrollo e implementación de los procesos y procedimientos que permitan articular la reforma y su adaptación de las actuales Facultades y Proyectos Curriculares, a Escuelas, con sus respectivos Claustros, vicerrectorías y demás dependencias que sean reestructuradas en la reforma.</t>
  </si>
  <si>
    <t>Diseñar estrategias de divulgación de los servicios de bienestar.</t>
  </si>
  <si>
    <t>Integrar la gestión de información que garantice la adecuada caracterización con transparencia de la información y las acciones realizadas para los diversos apoyos brindados a la comunidad universitaria.</t>
  </si>
  <si>
    <t>Desarrollo del bienestar institucional extensivo y participativo, acceso a los programas conforme características económicas, sociales y académicas, con proyectos focalizados.</t>
  </si>
  <si>
    <t>4.2</t>
  </si>
  <si>
    <t>4.3</t>
  </si>
  <si>
    <t>4.4</t>
  </si>
  <si>
    <t>4.5</t>
  </si>
  <si>
    <t>4.6</t>
  </si>
  <si>
    <t>4.7</t>
  </si>
  <si>
    <t>Formulación de estrategias de estudios e investigación del bienestar para identificar requerimientos y necesidades de la comunidad académica.</t>
  </si>
  <si>
    <t>4.8</t>
  </si>
  <si>
    <t>5. Transformación digital</t>
  </si>
  <si>
    <t>5.1</t>
  </si>
  <si>
    <t>5.2</t>
  </si>
  <si>
    <t>5.3</t>
  </si>
  <si>
    <t>Reconocimiento a docentes en la producción de contenidos y recursos digitales conforme estándares y modelos de calidad.</t>
  </si>
  <si>
    <t>5.4</t>
  </si>
  <si>
    <t xml:space="preserve">
Formular proyecto de educación inclusiva en donde  se  caracterice  a la población objetivo de la universidad y se determine los mecanismos de educación  con  mediación tecnológica.</t>
  </si>
  <si>
    <t>5.5</t>
  </si>
  <si>
    <t>5.6</t>
  </si>
  <si>
    <t>Desarrollar programas STEM+I además de una escuela de formación en ciencias de datos para articulación con la educación media en el Distrito.</t>
  </si>
  <si>
    <t>Estructurar y conformar el Comité de Transformación Digital con el fin de promover aprovechamiento de las tecnologías emergentes y disruptivas.</t>
  </si>
  <si>
    <t>Apropiar los dominios y habilitadores de transformación digital el marco de lo dispuesto  por MINTIC para el estado colombiano.</t>
  </si>
  <si>
    <t>Gestionar fuentes de apropiación de recursos externos para la financiación de Transformación Digital.</t>
  </si>
  <si>
    <t>Formular una estrategia de transformación digital en la Universidad Distrital que este fundamentada en las tecnologías disruptivas para brindar servicios de alto valor además de emprendimientos digitales.</t>
  </si>
  <si>
    <t>6.1</t>
  </si>
  <si>
    <t>6.2</t>
  </si>
  <si>
    <t>6.3</t>
  </si>
  <si>
    <t>6.4</t>
  </si>
  <si>
    <t>6.5</t>
  </si>
  <si>
    <t>7.1</t>
  </si>
  <si>
    <t>7.2</t>
  </si>
  <si>
    <t>7.3</t>
  </si>
  <si>
    <t>7.4</t>
  </si>
  <si>
    <t>7.5</t>
  </si>
  <si>
    <t>No existe la unidad</t>
  </si>
  <si>
    <t>Apropiación y ejecución de los Recursos del Sistema General de Regalías para el desarrollo del Proyecto del Edificio de Ingeniería.</t>
  </si>
  <si>
    <t xml:space="preserve">Promover iniciativas de accebilidad en las diferentes sedes de la Universidad. </t>
  </si>
  <si>
    <t>División de Recursos Físicos
Oficina Asesora de Planeación y Control</t>
  </si>
  <si>
    <t>Oficina Asesora de Planeación y Control</t>
  </si>
  <si>
    <t>Acciones orientadoras</t>
  </si>
  <si>
    <t>Plan Estratégico de Desarrollo 2018-2030</t>
  </si>
  <si>
    <t>24. Incrementar los proyectos de cofinanciación externa en 45%, cuyos recursos provengan de organismos internacionales, los sistemas de ciencia tecnología e innovación.</t>
  </si>
  <si>
    <t>7. Aumentar la oferta en 10 programas de formación para el trabajo y desarrollo del talento humano en correspondencia con las necesidades de los sectores productivos y de servicios de la ciudad región.</t>
  </si>
  <si>
    <t>11. Lograr que el 60% de estudiantes tengan un dominio de una segunda lengua en un nivel equivalente a B2.</t>
  </si>
  <si>
    <t xml:space="preserve">13. Disminuir la tasa de deserción anual al 9% </t>
  </si>
  <si>
    <t>16. Aumentar la tasa de graduación en pregrados al 70%</t>
  </si>
  <si>
    <t>20. Clasificarse entre las 5 mejores IES colombianas según indicadores en investigación.</t>
  </si>
  <si>
    <t>21. Aumentar el porcentaje de revistas científicas indexadas al 100%.</t>
  </si>
  <si>
    <t>23. Crear al menos 3 empresas spin-off, 15 empresas incubadas e institutos de investigación e innovación.</t>
  </si>
  <si>
    <t>33. Implementar los dominios identificados en el marco de referencia IT 4+ establecidos por MinTIC</t>
  </si>
  <si>
    <t>34. Alcanzar la implementación del cuarto componente de Gobierno en Línea (Seguridad y privacidad de la información).</t>
  </si>
  <si>
    <t>36. Implementar mecanismos de participación, de los diferentes estamentos, de la comunidad universitaria, en las instancias de planeación, gestión, seguimiento y evaluación de la Universidad.</t>
  </si>
  <si>
    <t xml:space="preserve"> - Consolidación de una oferta académica flexible que articule todas las metodologías de enseñanza, los niveles y los campos de formación, permitiendo el aumento y fortalecimiento de la oferta existente, articulada con la educación básica, media y superior.</t>
  </si>
  <si>
    <t xml:space="preserve"> - Consolidación y aumento de una oferta académica flexible que articule los diferentes niveles de formación desde el nivel básico hasta el superior.</t>
  </si>
  <si>
    <t xml:space="preserve"> - Promoción del intercambio, la circulación y el diálogo de conocimientos y saberes, a través de encuentros multidisciplinarios de conocimiento.
 - Gestión de proyectos que promuevan la investigación y la proyección social como instrumentos de articulación de la universidad con la sociedad.</t>
  </si>
  <si>
    <t xml:space="preserve"> - Promoción de encuentros y articulación con el sector productivo a fin de responder a sus demandas y generar sinergia en la difusión y apropiación del conocimiento.</t>
  </si>
  <si>
    <t xml:space="preserve"> - Establecer y desarrollar una política institucional de apropiación de la segunda lengua como parte activa de la gestión curricular, y condición para la titulación y la evaluación.</t>
  </si>
  <si>
    <t xml:space="preserve"> - Promover y consolidar convenios con universidades internacionales e incrementar los intercambios de estudiantes y docentes.</t>
  </si>
  <si>
    <t xml:space="preserve"> - Disponer de manera funcional y jerarquizada un orden adecuado de relaciones entre las facultades, las escuelas y los programas académicos, de acuerdo con el Estatuto General.</t>
  </si>
  <si>
    <t xml:space="preserve"> - 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
 - Estructuración de metodologías y estrategias de enseñanza - aprendizaje que favorezcan la construcción y resolución de situaciones problemáticas.
 - Construcción e implementación de una reforma curricular participativa, integral y flexible que fomente la integración de las funciones universitarias y los campos, articule los niveles de formación y promueva la internacionalización de los planes de estudios.</t>
  </si>
  <si>
    <t xml:space="preserve"> - Fortalecimiento de un modelo de formación docente continuo, que permita fomentar las dimensiones pedagógicas, didácticas, profesionales y humanas y los procesos de innovación pedagógica.</t>
  </si>
  <si>
    <t xml:space="preserve"> - Consolidación de una evaluación integral del currículo que permita el diseño, implementación, seguimiento y retroalimentación del mismo, promueva la pertinencia social de los programas académicos, la formación integral de personas en situación de discapacidad, la especialización docente en nuevas metodologías y modalidades de enseñanza-aprendizaje; y propicie el aumento en la atención cualificada de poblaciones académicas especificas.</t>
  </si>
  <si>
    <t xml:space="preserve"> - Construcción de una política cultural universitaria que propenda la diversidad de las expresiones artísticas, culturales, deportivas y el desarrollo de la pertenencia institucional.
 - Construcción de una cultura organizacional universitaria basada en la solidaridad y el respeto por lo público que permita promover la transparencia, la ética y la responsabilidad colectiva en el marco de la autonomía universitaria.
 - Crear un sistema de evaluación de los servicios de bienestar universitario.</t>
  </si>
  <si>
    <t xml:space="preserve"> - Transferencia de resultados de investigación, creación e innovación institucionales para la solución de problemas de la sociedad.
 - Definición y desarrollo de modelos de apropiación social del conocimiento, que posibiliten el intercambio y diálogo de saberes y conocimientos con los sectores sociales, productivos y culturales.</t>
  </si>
  <si>
    <t xml:space="preserve"> - Mejoramiento y cualificación de la producción y difusión científica y creativa, de tal manera que logren mayor presencia en el mundo académico.</t>
  </si>
  <si>
    <t xml:space="preserve"> - Definición y desarrollo de la agenda de investigación-innovación-creación institucional con la comunidad universitaria y con el apoyo de actores interesados, estableciendo mecanismos de participación de acuerdo con los contextos, saberes y conocimientos de los participantes.
 - Formulación de una política de investigación que permita la creación de programas, proyectos, líneas y áreas de investigación que estimulen la producción científica, y la solución de problemas de la ciudad-región y del país.
 - Consolidar y cualificar los grupos y semilleros de investigación.
 - Creación de redes de investigación, nacionales e internacionales; y promover las membresías pertinentes.
 - Promover la categorización de grupos de investigación en las convocatorias que para efecto se reglamenten.</t>
  </si>
  <si>
    <t xml:space="preserve"> - Expedición de la reglamentación interna que defina el marco y las condiciones para la creación y la gestión de las empresas.
 - Desarrollo de las actividades que aborden las problemáticas de los sectores productivos, e integren a la comunidad universitaria en la búsqueda de soluciones efectivas que respondan a las necesidades diagnosticadas.</t>
  </si>
  <si>
    <t xml:space="preserve"> - Fortalecer los diálogos e intercambios con organismos internacionales, entidades estatales y sectores productivos.
 - Actualización y ajuste, a los intereses de la Universidad, del Estatuto de Propiedad Intelectual.
 - Incrementar el número de doctores que participan en el desarrollo de acciones encaminadas a la apropiación social del conocimiento.</t>
  </si>
  <si>
    <t xml:space="preserve"> - Creación y funcionamiento de un Centro de Innovación y Emprendimiento que contribuya a dar respuesta a las necesidades de los empresarios de la ciudad región, y promueva la articulación interdisciplinaria de servicios a los sectores económicos y la apropiación social del conocimiento como bien público.
 - Establecer alianzas estratégicas y apoyar los parques tecnológicos en las áreas de influencia de la universidad.
 - Concertar acciones de investigación, formación y asesoría con las empresas de los sectores productivos de la ciudad-región.</t>
  </si>
  <si>
    <t xml:space="preserve"> - Consolidación de los planes de formación doctoral para docentes de planta.</t>
  </si>
  <si>
    <t xml:space="preserve"> - Elaborar y ejecutar el Plan Maestro de Espacios Educativos.
 - Desarrollo y actualización sostenible de la infraestructura universitaria de manera articulada entre las sedes de la universidad; además con una relación amable y respetuosa con el medio ambiente.
 - Promoción de la cultura de respeto por el ambiente y la sostenibilidad ambiental.
 - Desarrollo y consolidación de un campus digital que conecte a las distintas dependencias académicas y administrativas y que supere las distancias territoriales entre las distintas sedes de la Universidad.
 - Fortalecimiento de un sistema integral de información institucional que garantice su disponibilidad y la memoria institucional.
 - Favorecer los indicadores de área por estudiante para el desarrollo de la actividad curricular.
 - Desarrollo y actualización sostenible de la infraestructura universitaria de manera articulada entre las sedes de la universidad; además con una relación amable y respetuosa con el medio ambiente.</t>
  </si>
  <si>
    <t xml:space="preserve"> - Creación e implementación del sistema CRAI (Centro de Recursos para el Aprendizaje y la Investigación) que articule los medios educativos de la universidad.</t>
  </si>
  <si>
    <t xml:space="preserve"> - Identificar los avances en materia de conocimiento científico, tecnológico y de innovación que inciden en la organización, gestión y productividad de los procesos institucionales.
 - Conocer las necesidades que expresan los resultados de la evaluación del desempeño; determinar las observaciones de las auditorías, internas y externas sobre la gestión y sus resultados; y diagnosticar las necesidades de los servidores públicos en materia de conocimientos.
 - Construcción de una cultura organizacional universitaria basada en la solidaridad y el respeto por lo público que permita promover la transparencia, la ética y la responsabilidad colectiva en el marco de la autonomía universitaria.</t>
  </si>
  <si>
    <t xml:space="preserve"> - Aumentar y cualificar la planta de empleos docentes y administrativos, en correspondencia con la organización interna, la proyección de cobertura y las condiciones institucionales.</t>
  </si>
  <si>
    <t xml:space="preserve"> - Implementar estrategias orientadas a incentivar los ascensos en el escalafón de los docentes de carrera y docentes especiales.</t>
  </si>
  <si>
    <t xml:space="preserve"> - Garantizar tecnologías y canales digitales que permitan generar, procesar y acceder a información oportuna sobre las funciones universitarias, los procesos y procedimientos institucionales, el trámite de servicios, la recepción de solicitudes y la generación de respuestas pertinentes y satisfactorias.</t>
  </si>
  <si>
    <t xml:space="preserve"> - Garantizar la divulgación de toda información pública generada por la universidad; así como el control de la información pública clasificada y reservada que maneja la institución.</t>
  </si>
  <si>
    <t xml:space="preserve"> - Consolidación de mecanismos de democracia participativa, donde la comunidad universitaria se involucre en la toma decisiones y en las dinámicas propias de la institución.
 - Promover formas de organización, interacción y asociación de los estudiantes para su participación activa en los asuntos de la vida universitaria y de la sociedad.
 - Adelantar diálogos con las diferentes representaciones de la sociedad civil, las agencias de cooperación, el sector privado y la academia para cualificar el proceso de rendición pública de cuentas.</t>
  </si>
  <si>
    <t xml:space="preserve"> - Fortalecimiento y ampliación de mecanismos que garanticen la eficiencia, eficacia y efectividad de las funciones universitarias; la transparencia y la ética en la toma de decisiones y en la operación institucional; y la seguridad jurídica institucional.</t>
  </si>
  <si>
    <t xml:space="preserve"> - Revisión, actualización y modernización del Estatuto General y de las demás normas estatutarias requeridas para el cumplimiento de las funciones institucionales, con las debidas consultas a la comunidad universitaria.</t>
  </si>
  <si>
    <t xml:space="preserve"> - Consolidación de sistemas de gestión, control, seguimiento, digitalización y acceso a la información, gestión documental, servicio en línea, trámites institucionales y atención a las personas.</t>
  </si>
  <si>
    <t xml:space="preserve"> - Estudiar, detectar, tratar y eliminar los riesgos de corrupción, motivando la participación de la comunidad universitaria y de la sociedad en la vigilancia de la gestión y la protección del patrimonio de la Universidad.</t>
  </si>
  <si>
    <t>Estrategias asociadas</t>
  </si>
  <si>
    <t>Meta estratégica</t>
  </si>
  <si>
    <t>Lineamiento Estratégico</t>
  </si>
  <si>
    <t>Plan Indicativo 2022-2025</t>
  </si>
  <si>
    <t>Facilitar la inmersión y participación activa de la institución en la sociedad del conocimiento en el ámbito local, nacional e internacional.</t>
  </si>
  <si>
    <t xml:space="preserve">Implementar la política de plurilingüismo en espacios académicos impartidos en otros idiomas que privilegien lenguas nativas mediante programas de formación para docentes, estudiantes y administrativos, ejecutados por el ILUD, el énfasis en enseñanza del inglés del DIE, la maestría en lingüística aplicada a la enseñanza del inglés y la licenciatura en educación básica en inglés. </t>
  </si>
  <si>
    <t>Mejoramiento de recursos físicos y materiales para el cumplimiento de las funciones de bienestar, así como de los procedimientos de divulgación de servicios.</t>
  </si>
  <si>
    <t>Lineamiento 1: Formar ciudadanos, profesionales, investigadores, creadores e innovadores, íntegros con pensamiento crítico y cultura democrática, en contextos diferenciados inter y multiculturales para la transformación de la sociedad.</t>
  </si>
  <si>
    <t>Lineamiento 2: Establecer un diseño curricular dinámico y flexible que promueva el pluralismo y consolide una comunidad universitaria crítica-transformadora y en armonía ambiental.</t>
  </si>
  <si>
    <t>Lineamiento 3: Integrar las funciones universitarias por medio de la investigación, creación, innovación para la ampliación del conocimiento como bien público y para la solución de problemas de la ciudad - región y de la sociedad en general.</t>
  </si>
  <si>
    <t>Lineamiento 4. Garantizar, gestionar y proveer las condiciones institucionales para el cumplimiento de las funciones universitarias y el bienestar de su comunidad.</t>
  </si>
  <si>
    <t xml:space="preserve">42. Lograr indicadores de cero corrupción en la gestión institucional. </t>
  </si>
  <si>
    <t>Lineamiento 5: Consolidar y fortalecer la democracia participativa, la gobernanza y la gobernabilidad para la cohesión de la comunidad universitaria.</t>
  </si>
  <si>
    <t>Indicador asociado</t>
  </si>
  <si>
    <t xml:space="preserve">Reestructuración del proceso de Gestión Contractual de la Universidad con el fin de garantizar eficacia, eficiencia, celeridad y seguridad jurídica en el desarrollo de los procesos contractuales de la Institución. </t>
  </si>
  <si>
    <t>Número de estudiantes matriculados en posgrado</t>
  </si>
  <si>
    <t>Total  de programas de formación para el trabajo y desarrollo del talento humano creados</t>
  </si>
  <si>
    <t>Porcentaje de proyectos curriculares con acuerdos de cotitulación y/o doble titulación.</t>
  </si>
  <si>
    <t>Porcentaje de estudiantes que tienen un dominio intermedio de una segunda lengua según el MCRE</t>
  </si>
  <si>
    <t xml:space="preserve">Porcentaje de estudiantes que no se han matriculado por dos periodos consecutivos (desertor anual)  </t>
  </si>
  <si>
    <t xml:space="preserve">Reforma Organizacional Aprobada por Consejo Superior </t>
  </si>
  <si>
    <t>Porcentaje de estudiantes que se han graduado en máximo dos periodos adicionales a los establecidos en el plan de estudios  (Tasa de eficiencia en la titulación)</t>
  </si>
  <si>
    <t>Puesto según Rankings:  US= Usapiens WM= Webometrics ScN= Scimago Nacional ScW= Scimago Internacional</t>
  </si>
  <si>
    <t>Porcentaje de revistas institucionales con algún nivel de indexación con COLCIENCIAS-PUBLINDEX</t>
  </si>
  <si>
    <t>Número de Spin Offs y Start ups operativos</t>
  </si>
  <si>
    <t>Total de metros cuadrados (m2) construidos</t>
  </si>
  <si>
    <t>Dominios implementados según Marco de referencia IT4+</t>
  </si>
  <si>
    <t>Porcentaje de implementación del componente de Gobierno en Línea.</t>
  </si>
  <si>
    <t>Porcentaje de actualización de Procesos SIGUD</t>
  </si>
  <si>
    <t>Fortalecimiento de la planta de personal docente de carrera a partir de la revisión  y proyección de las condiciones de vinculación docente.</t>
  </si>
  <si>
    <t xml:space="preserve">Crear la Oficina de Contratación de la Universidad con el fin de gestionar la estructuración de los procesos contractuales de la Universidad. </t>
  </si>
  <si>
    <t>• PAAC de cada vigencia
• Número de canales
de atención en las localidades de Bogotá
• Número de rendiciones de cuentas realizadas
a la comunidad anualmente</t>
  </si>
  <si>
    <t>Modernización Institucional</t>
  </si>
  <si>
    <t xml:space="preserve">Talento Humano y Bienestar </t>
  </si>
  <si>
    <t>Transformación digital</t>
  </si>
  <si>
    <t>Interinstitucionalización e Internacionalización</t>
  </si>
  <si>
    <t>5.7</t>
  </si>
  <si>
    <t>Avance en la estructuración del Modelo de Acreditación Institucional = (acciones ejecutadas/acciones establecidas)*100</t>
  </si>
  <si>
    <t>Generar las políticas y lineamientos institucionales correspondientes a  resultados de aprendizaje.</t>
  </si>
  <si>
    <t>Nivel de avance en la generación de Políticas y lineamientos institucionales correspondiente a resultados de aprendizaje = (acciones ejecutadas/acciones establecidas)*100</t>
  </si>
  <si>
    <t>Indicador(es) de eficacia asociado(s)</t>
  </si>
  <si>
    <t>Avance en la estructuración del sistema de posgrados = (acciones ejecutadas/acciones establecidas)*100.</t>
  </si>
  <si>
    <t xml:space="preserve">Eje transformador </t>
  </si>
  <si>
    <t>Gestionar la presentación de  los conceptos de viablidad, jurídica administrativa y financiera solicitados por el CSU para  el proyeccto de  la Reforma Orgánica de la Universidad.</t>
  </si>
  <si>
    <t>Nivel de avance del proyecto de identidad universitaria =  (acciones ejecutadas/acciones establecidas)*100</t>
  </si>
  <si>
    <t>Nivel de reestructuración Oficina Asesora Jurídica = (acciones ejecutadas/acciones establecidas)*100</t>
  </si>
  <si>
    <t>Ubicar a la Oficina Asesora Jurídica de la Universidad como dependencia funcional y jerárquica de la Rectoría.</t>
  </si>
  <si>
    <t>Avance en la hoja de ruta para la política integral de comunicaciones =   (acciones ejecutadas en cada etapa /acciones establecidas en cada etapa)*100</t>
  </si>
  <si>
    <t>Avance en la hoja de ruta para la  implementación del sistema de talento humano =  (acciones ejecutadas en cada etapa /acciones establecidas en cada etapa)*100</t>
  </si>
  <si>
    <t>Ejercicio de prospectiva</t>
  </si>
  <si>
    <t>Programa de Gobierno</t>
  </si>
  <si>
    <t>Origen de la iniciativa</t>
  </si>
  <si>
    <t>Propuesta de Gobierno</t>
  </si>
  <si>
    <t>Número de programas acreditados internacionalmente = ∑ programas acreditados internacionalmente</t>
  </si>
  <si>
    <t xml:space="preserve">Estructurar y viabilizar la creación de nuevas facultades que permitan cerrar el ciclo formativo, ampliar el campo de acción de la Universidad y fortalecer los procesos de formación, investigación e innovación y extensión y proyección social. </t>
  </si>
  <si>
    <t>Estructuración y fortalecimiento del sistema Integrado de postgrados que respetando los saberes y conocimientos que permitan una gestión basada en resultados de sostenibilidad de la oferta postgradual.</t>
  </si>
  <si>
    <t>Nivel de avance en la construcción del modelo de gestión =  (acciones ejecutadas/acciones establecidas)*100</t>
  </si>
  <si>
    <t>Comisión Accidental de planeación
Rectoría
Vicerrectoría Académico
Vicerrectoría Administrativa y Financiera
Oficina Asesora de Planeación y Control</t>
  </si>
  <si>
    <t xml:space="preserve">Estatutos complementados ajustados = (Número de estatutos complementarios ajustados o creados/Número de estatutos establecidos)*100. </t>
  </si>
  <si>
    <t>(Número de Unidades o instancias ajustadas o creadas/Unidades o instancias objeto de ajuste) *100</t>
  </si>
  <si>
    <t xml:space="preserve">Estructuración del sistema de talento humano institucional que responda a las necesidades de la Universidad y a la estructura orgánica de la institución. </t>
  </si>
  <si>
    <t>Resultado</t>
  </si>
  <si>
    <t>Avance en la consolidación del fondo de investigaciones de la Universidad  = (acciones ejecutadas/acciones establecidas)*100</t>
  </si>
  <si>
    <t>Propuesta de Gobierno
Observaciones CNA (5)</t>
  </si>
  <si>
    <t>Generar programas/proyectos de investigación en educación para transformar las prácticas educativas  articulando el conocimiento, la escuela y la sociedad.</t>
  </si>
  <si>
    <t>CIDC</t>
  </si>
  <si>
    <t>Fortalecer instancias de divulgación del conocimiento y demás procesos editoriales.</t>
  </si>
  <si>
    <t>Producto</t>
  </si>
  <si>
    <t>Sistema de Bienestar Universitario actualizado = (actividades ejecutadas/actividades planeadas o identificadas)*100</t>
  </si>
  <si>
    <t>Diagnosticar las capacidades institucionales en materia del Talento Humano. (jurídico, técnico y presupuestalmente).</t>
  </si>
  <si>
    <t xml:space="preserve">Promoción de la formalización laboral a través de la proyección de la ampliación de la planta administrativa de la Universidad de acuerdo con las necesidades evidenciadas institucionalmente.  </t>
  </si>
  <si>
    <t>Propuesta de Gobierno
Ejercicio de Prospectiva</t>
  </si>
  <si>
    <t>Avance en la implementación del Plan aprobado = (etapas ejecutadas/etapas establecidas)*100</t>
  </si>
  <si>
    <t>Rectoría 
Vicerrectoría Administrativa y Financiera
División de Recursos Humanos</t>
  </si>
  <si>
    <t xml:space="preserve">Desarrollo del bienestar institucional extensivo y participativo, acceso a los programas conforme características económicas, sociales y académicas, con proyectos focalizados, así como con las condiciones establecidas por la ley. </t>
  </si>
  <si>
    <t>Actualizar el programa/plan de clima organizacional donde se incluya el reconocimiento de  los logros de los trabajadores,  programas de aprendizaje, desarrollo y apoyo.</t>
  </si>
  <si>
    <t>Incorporar las TIC para la gestión de información y la  caracterización con transparencia de la información y las acciones realizadas para los diversos apoyos brindados a la comunidad universitaria.</t>
  </si>
  <si>
    <t>Avance en la creación del sistema de evaluación del sistema de bienestar = (acciones ejecutadas/acciones establecidas)*100</t>
  </si>
  <si>
    <t>Promedio de satisfacción de los servicios ofrecidos =  (∑ Calificaciones obtenidas/Total de usuarios que califican los servicios)</t>
  </si>
  <si>
    <t xml:space="preserve">Diseñar e implementar un sistema de talento humano institucional que articule los actores involucrados en la gestión del talento humano. </t>
  </si>
  <si>
    <t>Establecer,  ejecutar y hacer seguimiento los planes y programas de ley en materia de talento humano, bienestar social y laboral.</t>
  </si>
  <si>
    <t>PlanesTIC</t>
  </si>
  <si>
    <t xml:space="preserve">Avance en la reglamentación = (total acciones ejecutadas/ total acciones establecidas) *100 </t>
  </si>
  <si>
    <t>Comunidad universitaria caracterizada (estudiantes, docentes y administrativos) = (población caracterizada/población priorizada)*100</t>
  </si>
  <si>
    <t>CADEP
Centro de Bienestar Institucional
Proyecto NEEIS</t>
  </si>
  <si>
    <t>Centro de Bienestar Institucional</t>
  </si>
  <si>
    <t>Programas de pregrado y posgrado en modalidad virtual = Programas de pregrado y posgrado en modalidad virtual</t>
  </si>
  <si>
    <t xml:space="preserve">Avance en la implementación de los dominios y habilitadores de transformación digital. </t>
  </si>
  <si>
    <t>Resultados</t>
  </si>
  <si>
    <t>Consolidar y gestionar la aprobación del Plan Maestro de Espacios Educativos, PMEE.</t>
  </si>
  <si>
    <t xml:space="preserve">Formular el Plan de Maestro de Bienestar de acuerdo con lo establecido en el Plan Maestro de Espacios Educativos. </t>
  </si>
  <si>
    <t>Hacer seguimiento al desarrollo del Proyecto del Edificio de la Facultad de Ingeniería.</t>
  </si>
  <si>
    <t>Avance en la ejecución del proyecto de la Facultad de Ingeniería =(etapas desarrolladas/etapas establecidas)*100</t>
  </si>
  <si>
    <t xml:space="preserve">Mejorar el desempeño institucional en los rankings de educación superior nacionales. </t>
  </si>
  <si>
    <t>Posicionamiento institucional de la Universidad Distrital Francisco José de Caldas en los ranking nacionales.</t>
  </si>
  <si>
    <t xml:space="preserve">Mejorar el posicionamiento en los ranking internacionales QS World University Rankings y Scimago internacional. </t>
  </si>
  <si>
    <t>ILUD</t>
  </si>
  <si>
    <t>4.9</t>
  </si>
  <si>
    <t xml:space="preserve">Actualizar la normatividad que rige el procedimiento de concurso público de méritos para la provisión de cargos en la planta docente, de acuerdo con las necesidades académicas de la institución y garantizando criterios de equidad e igualdad. </t>
  </si>
  <si>
    <t xml:space="preserve">Declaración de la identidad de la Universidad Distrital Francisco Jose de Caldas y a partir de ella,  fortalecer la gestión del conocimiento y su apropiacion social en la Universidad, buscando practicas de excelencia que articulen lo administrativo, academico y social desde el reconocimiento de los derechos humanos en condiciones de igualdad y equidad. </t>
  </si>
  <si>
    <t xml:space="preserve">Consolidación de un ambiente laboral armónico, desarrollo de competencias para buenas prácticas para la convivencia e identidad institucional a partir del reconocimiento y la garantía de los derechos humanos, con principios de equidad, igualdad y no discriminación. </t>
  </si>
  <si>
    <t xml:space="preserve">Crear y ejecutar un sistema de evaluación de impacto y pertinencia de los servicios del Centro de Bienestar Institucional que permita identificar las oportunidades de mejora en los servicios ofertados, teniendo en cuenta enfoques de derechos, diferenciales y de género. </t>
  </si>
  <si>
    <t>Avance en la consolidación del  instrumento = (acciones ejecutadas/acciones establecidas)*100</t>
  </si>
  <si>
    <t>Valoración de los procesos de investigación-creación como espacio de interés multicultural y multi-disciplinar en el campo de los estudios artístico que permitan viabilizar programas y proyectos específicos de  estas áreas de conocimiento.</t>
  </si>
  <si>
    <t>Promover una cultura institucional que reconozca y garantice los derechos humanos con acciones afirmativas para lograr condiciones de igualdad, equidad,
no discriminación y erradicación de las violencias en contra de las mujeres, las diversidades sexuales y de género.</t>
  </si>
  <si>
    <t xml:space="preserve">Definir el Plan para la implementación de la Política y hacer seguimeinto a su implementación. </t>
  </si>
  <si>
    <t>Avance en la consolidación de la política = (acciones ejecutadas/acciones establecidas)*100</t>
  </si>
  <si>
    <t xml:space="preserve">Nivel de implementación del Plan = (acciones ejecutadas/acciones establecidas)*100 </t>
  </si>
  <si>
    <t xml:space="preserve">Formular y gestionar la aprobación de la Política de Derechos Humanos alineada con los lineamientos en matería del gobierno distrital y nacional. </t>
  </si>
  <si>
    <t xml:space="preserve">Formular y gestionar la aprobación de la Política de Género y Diversidades Sexuales alineada con los lineamientos en matería del gobierno distrital y nacional. </t>
  </si>
  <si>
    <t>Incorporar los enfoques de derechos humanos, diferencial y de género en la formulación  los planes y programas de ley en materia de talento humano, bienestar social y laboral.</t>
  </si>
  <si>
    <t>(Planes y programas de ley en materia talento humano y bienestar social y laboral con seguimiento/ total de  Planes y programas del ley implementados por la Universidad en materia de talento humano, bienestar social y laboral)*100</t>
  </si>
  <si>
    <t xml:space="preserve">Definir el Plan para la implementación de la Política y hacer seguimiento a su implementación. </t>
  </si>
  <si>
    <t>4.10</t>
  </si>
  <si>
    <t>Propuesta de gobierno</t>
  </si>
  <si>
    <t>Generar programas y proyectos para la corresponsabilidad del trabajo de cuidado, posibilitando la conciliación de la vida familiar, académica y laboral para toda la comunidad universitaria (mujeres, hombres, diversidades sexuales), así la promoción y garantía de la salud sexual y reproductiva.</t>
  </si>
  <si>
    <t>Prevenir, atender y reazalizar seguimiento a la posibles vulneraciones de derechos humanos, discriminación y violencias basadas en género, violencia sexual a la comunidad universitaria, especialmente en contra de las mujeres y las personas LGBTIQ+.</t>
  </si>
  <si>
    <t>Modificar e implementar protocolos para la prevención y atención de casos de  violencia basada en género, violencia sexual y vulneaciones de derechos humanos en el contexto universitario.</t>
  </si>
  <si>
    <t>Rectoría
Comité de Género y Diversidades Sexuales</t>
  </si>
  <si>
    <t>Rectoría
Comité de Género y Diversidades Sexuales
Comité de Derechos Humanos
Oficina Asesora de Planeación y Control</t>
  </si>
  <si>
    <t>Observaciones</t>
  </si>
  <si>
    <t>F. Artes: 1
F. Ciencias y Educación: 2
F. Ciencias Matemáticas y Naturales: 0
F. de Ingeniería: 1
FAMARENA: 0
F. Tecnológica: 0
Total: 4</t>
  </si>
  <si>
    <t>Nivel de avance en la actualización de la normatividad que rige  el concurso público de méritos para la provisión de cargos en la planta docente = (acciones ejecutadas/acciones establecidas)*100</t>
  </si>
  <si>
    <t>Comisión Accidental de Planeación
Rectoría
Vicerrectoría Académico
Vicerrectoría Administrativa y Financiera
Oficina Asesora de Planeación y Control</t>
  </si>
  <si>
    <t>El número de Unidades ajustadas depende del ajuste al Estatuto General aprobado por el CSU</t>
  </si>
  <si>
    <t>Oficina Asesora de Jurídica actual (adscrita a la Secretaría General)</t>
  </si>
  <si>
    <t>Rectoría
Oficina Asesora de Sistemas
Red de Datos
PlanesTIC
RITA</t>
  </si>
  <si>
    <t>Avance en la formulación e implementación de los criterios =   (acciones ejecutadas/acciones establecidas)*100</t>
  </si>
  <si>
    <t>Viabilizar  programas y proyectos  específicos en el campo de los estudios artísticos a partir de procesos de investigación- creación.</t>
  </si>
  <si>
    <t>Debe identificarse</t>
  </si>
  <si>
    <t>División de Recursos Humanos</t>
  </si>
  <si>
    <t>Decanaturas
PlanesTIC
RITA
I3+
Red de Datos
Oficina Asesora de Sistemas
Comité de Transformación Digital</t>
  </si>
  <si>
    <t>PlanesTIC
RITA
I3+
Red de Datos
Oficina Asesora de Sistemas
Comité de Transformación Digital</t>
  </si>
  <si>
    <t>Sección de Actas, Archivo y Microfilmación</t>
  </si>
  <si>
    <t>Usapiens: 18 (2021-3) 16 (2022-1)
Webometrics: 30 (2021) 23 (2022)
Scimago Nacional: 31 (2021)  44 (2022)</t>
  </si>
  <si>
    <t>F. Artes: 3
F. Ciencias y Educación: 12
F. Ciencias Matemáticas y Naturales: 1
F. de Ingeniería: 5
FAMARENA: 5
F. Tecnológica: 0
Total: 26</t>
  </si>
  <si>
    <t>PUI actualizado en 2018
PED 2018-2030</t>
  </si>
  <si>
    <t>3 programas de maestría en modalidad virtual (Maestría en Telecomunicaciones Móviles, Maestría en Educación en Tecnología, Maestría en Gestión y Seguridad de la Información)</t>
  </si>
  <si>
    <t>Avance en la formulación del Plan de Maestro de Bienestar de la Universidad  =  (acciones ejecutadas en cada etapa /acciones establecidas en cada etapa)*100</t>
  </si>
  <si>
    <t>Propuesta de Gobierno
Observaciones CNA (3, 8)</t>
  </si>
  <si>
    <t>Propuesta de Gobierno
Observaciones CNA (8)</t>
  </si>
  <si>
    <t>Programa de Gobierno
Observaciones CNA (12)</t>
  </si>
  <si>
    <t xml:space="preserve">Programa de Gobierno
Observaciones CNA (12)
</t>
  </si>
  <si>
    <t>Programa de Gobierno
Ejercicio de Prospectiva
Observaciones CNA (12)</t>
  </si>
  <si>
    <t>Observación CNA (11)</t>
  </si>
  <si>
    <t>Desarrollo de estrategias que permitan realizar reportes de información con criterios de calidad y oportunidad en los diferentes sistemas de información del Ministerio de Educación Nacional, MEN (SPADIES, SNIES, ect.).</t>
  </si>
  <si>
    <t xml:space="preserve">Asignar e institucionalizar las responsabilidades frente a la consolidación y reporte de la información requerida por los diferentes sistemas del MEN. </t>
  </si>
  <si>
    <t>Propuesta de Gobierno
Observaciones CNA (14)</t>
  </si>
  <si>
    <t>Programa de Gobierno
Observaciones CNA (16)</t>
  </si>
  <si>
    <t xml:space="preserve">Armonización </t>
  </si>
  <si>
    <t>Observaciones CNA Resolución 023653 de 2021 del MEN</t>
  </si>
  <si>
    <t>Meta 1</t>
  </si>
  <si>
    <t>Actualizar el Modelo de Acreditación Institucional a la luz del nuevo modelo de acreditación del CNA, de tal manera que  se desarrolle  el sistema de aseguramiento de calidad institucional en el marco de la autorregulación.</t>
  </si>
  <si>
    <t>Implementación de los planes de mejoramiento propuestos en la autoevaluación de programas e institucional, atendiendo las recomendaciones de los informes de las comisiones de pares y del Consejo Nacional de Acreditación a fin de fortalecer la cultura de la acreditación y el mejoramiento continuo de la institución.</t>
  </si>
  <si>
    <t>Meta 2
Meta 3
Meta 4</t>
  </si>
  <si>
    <t>Posicionamiento institucional en rankings internacionales.</t>
  </si>
  <si>
    <t>Meta 8
Meta 9
Meta 10
Meta 11</t>
  </si>
  <si>
    <t>Meta 11</t>
  </si>
  <si>
    <t>Meta 12</t>
  </si>
  <si>
    <t>Meta 13</t>
  </si>
  <si>
    <t>Iniciativa adicional</t>
  </si>
  <si>
    <t>Meta 14</t>
  </si>
  <si>
    <t xml:space="preserve">Propender por la presentación y aprobación del ajuste al Estatuto General por parte del Consejo Superior Universitario a través de la viabilización de su implementación. </t>
  </si>
  <si>
    <t>Meta 15</t>
  </si>
  <si>
    <t>Meta 17</t>
  </si>
  <si>
    <t>Promover la educación inclusiva y de calidad con mediación tecnológica.</t>
  </si>
  <si>
    <t>Meta 13
Meta 19</t>
  </si>
  <si>
    <t>Meta 20</t>
  </si>
  <si>
    <t>Meta 22</t>
  </si>
  <si>
    <t>Meta 23
Meta 25</t>
  </si>
  <si>
    <t>Meta 25</t>
  </si>
  <si>
    <t>Meta 2
Meta 3
Meta 4
Meta 27</t>
  </si>
  <si>
    <t>Meta 27</t>
  </si>
  <si>
    <t>Meta 19
Meta 29</t>
  </si>
  <si>
    <t>Meta 29
Meta 30</t>
  </si>
  <si>
    <t>Meta 31</t>
  </si>
  <si>
    <t>Meta 27
Meta 32</t>
  </si>
  <si>
    <t>Meta 18
Meta 32</t>
  </si>
  <si>
    <t>Meta 35</t>
  </si>
  <si>
    <t xml:space="preserve">Formalización de las formas, medios y modos para la comunicación institucional, de tal manera que la información fluya eficientemente teniendo en cuenta el enfoque de derechos diferencial y de género. </t>
  </si>
  <si>
    <t>Meta 14
Meta 40</t>
  </si>
  <si>
    <t>Vicerrectoría Académica
Oficina Asesora de Sistemas
Decanaturas de Facultad
CERI
CIDC
ILUD
IDEXUD</t>
  </si>
  <si>
    <t xml:space="preserve">Revisar y ajustar, de ser necesarios, los sistemas de información de la Universidad que capturan y almacenan la información, con el fin de que los mismos respondan a los paramétros y condiciones requeridas por la Institución. </t>
  </si>
  <si>
    <t xml:space="preserve">Meta 19 </t>
  </si>
  <si>
    <t>Iniciativas adicionales del Plan Indicativo 2022-2025</t>
  </si>
  <si>
    <t>Fórmula</t>
  </si>
  <si>
    <t xml:space="preserve">F. de Artes - ASAB: 
F. de Ciencias y Educación: 
F. de Ingeniería: 
FAMARENA: 
F. Tecnológica: 
F. Ciencias Matemáticas y Naturales: 
Total: </t>
  </si>
  <si>
    <t>(M1semPos + M2semPos) /2</t>
  </si>
  <si>
    <t>(Programas homologables/Total de Programas) *100</t>
  </si>
  <si>
    <t>F. de Artes - ASAB: (5/6)
F. de Ciencias y Educación: (30/32)
F. de Ingeniería: (19/20)
FAMARENA: (14/14)
F. Tecnológica: (16/16)
Total: (84/86) = 95,3%</t>
  </si>
  <si>
    <t>(PePs/Pe)∗100</t>
  </si>
  <si>
    <t>∑ Programas de formación</t>
  </si>
  <si>
    <t>[(Pdt/c)/(TP)]∗100</t>
  </si>
  <si>
    <t>F. de Artes - ASAB: 0
F. de Ciencias y Educación: 1
F. de Ingeniería: 0
FAMARENA: 0
F. Tecnológica: 1
Total: (2/86 ofertados)</t>
  </si>
  <si>
    <t>(EstM/T.EST)∗100</t>
  </si>
  <si>
    <t>(DocM/T.DOC)∗100</t>
  </si>
  <si>
    <t>(Est.B2/T.EST)∗100</t>
  </si>
  <si>
    <t>∑ Estudiantes apoyados en CB</t>
  </si>
  <si>
    <t>(EAE/EA)∗100</t>
  </si>
  <si>
    <t>Reforma Organizacional Implementada</t>
  </si>
  <si>
    <t>(ETE/EC)∗100</t>
  </si>
  <si>
    <t>[(D.TI)/(T.DOC)] ∗100</t>
  </si>
  <si>
    <t>[(D.LI)/(T.DOC)] ∗100</t>
  </si>
  <si>
    <t>(∑ Calificaciones)/ (T.EST)</t>
  </si>
  <si>
    <t>Puesto según Rankings:  US= Usapiens, WM= Webometrics, ScN= Scimago Nacional, ScW= Scimago Internacional</t>
  </si>
  <si>
    <t>US: 18
WM: 30
SCN: 31
SCW: 833</t>
  </si>
  <si>
    <t xml:space="preserve">US: 
WM: 
SCN: 
SCW: </t>
  </si>
  <si>
    <t>US: 5
WM: 5 
SCN: 5
SCW: 600</t>
  </si>
  <si>
    <t>(TR.i/TR)∗100</t>
  </si>
  <si>
    <t>∑ de Spin-off y Startup Operativos</t>
  </si>
  <si>
    <t>(D.DOC/T.DOC) ∗100</t>
  </si>
  <si>
    <t xml:space="preserve">∑ Metros cuadrados (m2) construidos </t>
  </si>
  <si>
    <t>[(E. Carrera/(T. Empleados)]*100</t>
  </si>
  <si>
    <t>[(D/A.LenAcc)/ (T.DOC/Adm)]∗100</t>
  </si>
  <si>
    <t>∑ Dominios implementados según Marco de referencia IT4+</t>
  </si>
  <si>
    <t>[(A.GEL Imp)/(Total de A.GEL)]∗100</t>
  </si>
  <si>
    <t>[(Información disponible en la web)/(Total de información de la Universidad)]∗100</t>
  </si>
  <si>
    <t>[(Instancias participando efectivamente)/(Total de instancias de la Universidad)]∗100</t>
  </si>
  <si>
    <t>[(Usuario≥4 y 5)/(T. Usuarios)]∗100</t>
  </si>
  <si>
    <t>[(Normatividad verificada)/(Total de normatividad expedida por la UD)]∗100</t>
  </si>
  <si>
    <t>[(Procesos Actualizados)/(Total de procesos)]∗100</t>
  </si>
  <si>
    <t>[(Normas actualizadas)/(Total de normas estatutarias)]∗100</t>
  </si>
  <si>
    <t>[(Información publicada)/(Información publicable según ley)]∗100</t>
  </si>
  <si>
    <t>• PAAC de cada vigencia</t>
  </si>
  <si>
    <t>PAAC de cada Vigencia</t>
  </si>
  <si>
    <t>• Número de canales
de atención en las localidades de Bogotá</t>
  </si>
  <si>
    <t>∑ Número de canales de atención en las localidades de Bogotá</t>
  </si>
  <si>
    <t>• Número de rendiciones de cuentas realizadas
a la comunidad anualmente</t>
  </si>
  <si>
    <t>∑ Número de rendiciones de cuentas realizadas a la comunidad anualmente</t>
  </si>
  <si>
    <t xml:space="preserve"> - Difusión y apropiación del Proyecto Universitario Institucional.
 - Desarrollar de manera permanente procesos de autoevaluación que se traduzcan en planes de mejoramiento continuo.
 - Elevar el nivel de desempeño de los estudiantes en las pruebas Saber Pro.</t>
  </si>
  <si>
    <t xml:space="preserve"> - Gestión y consolidación de relaciones nacionales e internacionales para fortalecer el intercambio académico, investigativo, de creación e innovación.
 - Establecer y desarrollar un modelo de homologación y equivalencias entre los diferentes programas y las normas que lo reglamenten.</t>
  </si>
  <si>
    <t xml:space="preserve"> - Desarrollar y fortalecer la participación de la universidad en el desarrollo del sistema educativo distrital. 
 - Articulación con autoridades del Sector Educativo, los colegios y sus estamentos, la comunidad y los sectores económicos, con el fin de evaluar, articular y consolidar los objetivos educacionales y los procesos de formación en investigación, creación, innovación y emprendimiento, para fomentar la comprensión y solución de problemas y la potenciación de capacidades hacia la transformación de la sociedad.</t>
  </si>
  <si>
    <t xml:space="preserve"> - Estudio sobre el impacto de la articulación con el Sector Educativo Distrital en el acceso, la permanencia y la titulación.
 - Fortalecimiento y creación de programas que fomenten la inclusión, la permanencia, la retención y la graduación.
 - Desarrollo del Sistema de Bienestar universitario integral, que mejore las condiciones de los miembros de la comunidad universitaria, con altos estándares de calidad.
 - Promoción de la comprensión y el análisis sobre las condiciones, creencias y alternativas de proyección de los intereses de los estudiantes sobre su futuro, su situación socioeconómica y la visión que les ofrece la Universidad.</t>
  </si>
  <si>
    <t xml:space="preserve"> - Desarrollo de programas e incentivos que favorezcan mejorar los índices de permanencia y repitencia.
 - Promoción de alternativas académicas que diversifiquen las modalidades de trabajos de grado.
 - Adoptar y desarrollar un programa de admisión y permanencia que permita un tránsito flexible en la malla curricular y las posibilidades de titulación, cotitulación y doble titulación.</t>
  </si>
  <si>
    <t xml:space="preserve"> - Motivar el conocimiento de lenguajes y actividades interactivas entre los servidores de la entidad y las personas en situación de discapacidad.
 - Adecuar las instalaciones para garantizar el bienestar de las personas en situación de discapacidad.</t>
  </si>
  <si>
    <t xml:space="preserve"> - Garantizar la recepción y respuesta al 100% de las peticiones, quejas y reclamos, a través de canales y medios que se ajusten a las necesidades y capacidades de las personas que los interponen.
 - Construir, ejecutar y evaluar periódicamente la estrategia de participación y rendición de cuentas.
 - Implementar un sistema integrado de comunicaciones que permita gestionar, articular y medir su impacto en la publicidad, difusión, acceso y apropiación de la información para favorecer la visibilidad institucional nacional e internacionalmente.
 - Estudiar las causas por las cuales se producen las peticiones, quejas y reclamos y adoptar mecanismos que permitan el mejoramiento continuo en la prestación de los servicios.</t>
  </si>
  <si>
    <t>Universidad Acreditada por ocho años Resolución 023653 del 2021 del MEN</t>
  </si>
  <si>
    <t xml:space="preserve">Proyección metas PED para el cuatrienio </t>
  </si>
  <si>
    <t>Valor alcanzado a 2021
(línea base Plan Indicativo)</t>
  </si>
  <si>
    <t>Unidad que proyecta la meta</t>
  </si>
  <si>
    <r>
      <rPr>
        <u/>
        <sz val="10"/>
        <color theme="1"/>
        <rFont val="Calibri"/>
        <family val="2"/>
        <scheme val="minor"/>
      </rPr>
      <t>Periodo 2021-3</t>
    </r>
    <r>
      <rPr>
        <sz val="10"/>
        <color theme="1"/>
        <rFont val="Calibri"/>
        <family val="2"/>
        <scheme val="minor"/>
      </rPr>
      <t xml:space="preserve">
F. de Artes - ASAB: 1.617
F. de Ciencias y Educación: 7.883
F. de Ingeniería: 5.688
FAMARENA: 5.385
F. Tecnológica: 6.970
Total: 27.543</t>
    </r>
  </si>
  <si>
    <r>
      <rPr>
        <u/>
        <sz val="10"/>
        <color theme="1"/>
        <rFont val="Calibri"/>
        <family val="2"/>
        <scheme val="minor"/>
      </rPr>
      <t>Periodo 2021-3</t>
    </r>
    <r>
      <rPr>
        <sz val="10"/>
        <color theme="1"/>
        <rFont val="Calibri"/>
        <family val="2"/>
        <scheme val="minor"/>
      </rPr>
      <t xml:space="preserve">
F. de Artes - ASAB: 112
F. de Ciencias y Educación: 1.536
F. de Ingeniería: 1.090
FAMARENA: 256
F. Tecnológica: 151
Total: 3.145</t>
    </r>
  </si>
  <si>
    <t xml:space="preserve">F. de Artes - ASAB: 6
F. de Ciencias y Educación: 32 (4 de la F. de Ciencias Matématicas y Naturales)
F. de Ingeniería: 21
FAMARENA: 15
F. Tecnológica: 17
Total: 91 </t>
  </si>
  <si>
    <t>IDEXUD</t>
  </si>
  <si>
    <t>N/A
(La meta fue priorizada para ajuste)</t>
  </si>
  <si>
    <t>CERI</t>
  </si>
  <si>
    <t>31 estudiantes (12 en 2021-1 y 19 en 2021-3)</t>
  </si>
  <si>
    <t>3 + (6 docentes en modalidad virtual apoyados desde el CIDC)</t>
  </si>
  <si>
    <t>15%
Por revisar</t>
  </si>
  <si>
    <t>85%
(medición encuesta 2021-1)</t>
  </si>
  <si>
    <t>(242/640) = 37,8%</t>
  </si>
  <si>
    <t>Sección de Biblioteca</t>
  </si>
  <si>
    <t>(189/256) =74,4%</t>
  </si>
  <si>
    <t>Oficina de Quejas, Reclamos y Atención al Ciudadano</t>
  </si>
  <si>
    <t xml:space="preserve">Oficina Asesora de Planeación y Control </t>
  </si>
  <si>
    <t xml:space="preserve">Gestión </t>
  </si>
  <si>
    <t>Actualización integral del modelo formativo institucional soportado en las mejores prácticas de diseño curricular basadas en procesos de formación para el aprendizaje e innovaciones mediadas por tecnología.</t>
  </si>
  <si>
    <t>Programas de doctorado con registro calificado = ∑  Programas de doctorado con registro calificado vigente</t>
  </si>
  <si>
    <t>Implementación de clases espejo con pares académicos nacionales e internacionales. (incluir los lineamientos)</t>
  </si>
  <si>
    <r>
      <t>Formular e implementar los Planes de Mejoramiento de los Programas en el marco de los procesos de obtención y renovación de registros calificados, así como aquellos relacionados con el proceso de Acreditación y Reacreditación de Alta Calidad de programas.</t>
    </r>
    <r>
      <rPr>
        <sz val="10"/>
        <color rgb="FF7030A0"/>
        <rFont val="Calibri (Body)_x0000_"/>
      </rPr>
      <t/>
    </r>
  </si>
  <si>
    <t>Fortalecer el uso de las TIC, como soporte a los diferentes procesos institucionales.</t>
  </si>
  <si>
    <t xml:space="preserve">Fortalecimiento del Sistema Integrado de  Gestion de la Universidad, SIGUD y su marco de referencia el Modelo Integrado de Planeación y Gestión, MIPG, de tal manera que se consolide como una herramienta integrada para la gestión institucional. </t>
  </si>
  <si>
    <t>Rectoría
Comité de transformación Digital
Oficina Asesora de Planeación y Control 
Unidades responsables de los trámites y OPA</t>
  </si>
  <si>
    <t xml:space="preserve">Ubicación estratégica de nuevas sedes de la Universidad que permitan ampliar cobertura, ampliar la oferta de pregrados, postgrados, investigación y extensión en las diferentes localidades de la ciudad. </t>
  </si>
  <si>
    <t>Predios incorporados en la planta física de la Universidad  = ∑ Predios incorporados en la planta física de la Universidad en las localidades de la Ciudad</t>
  </si>
  <si>
    <t xml:space="preserve">Identificar y gestionar alternativas de localización de sedes de la Universidad en el mediano plazo y priorizar aquellas con mayor viabilidad. </t>
  </si>
  <si>
    <t xml:space="preserve">Elaborar los estudios y diseños para las nuevas sedes de la Universidad en los predios incorporados. </t>
  </si>
  <si>
    <t xml:space="preserve">Estudios y diseños elaborados = ∑ Estudios y diseños elaborados </t>
  </si>
  <si>
    <t>Proyectos de construcción de nuevas sedes con financiación aprobada =   ∑ Proyectos de construcción de nuevas sedes con financiación aprobada</t>
  </si>
  <si>
    <t xml:space="preserve">Mantenimiento de la infraestructura física existente de la Universidad para garantizar el debido desarrollo de las funciones misionales y de apoyo de la institución. </t>
  </si>
  <si>
    <t xml:space="preserve">Consolidación de las sedes existentes de la Universidad que permitan ampliar cobertura, ampliar la oferta de pregrados, postgrados, investigación y extensión en las diferentes localidades de la ciudad. </t>
  </si>
  <si>
    <t xml:space="preserve">Procesos jurídicos resueltos = ∑ procesos jurídicos resueltos </t>
  </si>
  <si>
    <t>Oficina Asesora Jurídica</t>
  </si>
  <si>
    <t>Adelantar los procesos jurídicos pertinentes para viabilizar el desarrollo de los proyectos de Aduanilla de Paiba fase II y Macarena B.</t>
  </si>
  <si>
    <t xml:space="preserve">Actualizar o elaborar los estudios y diseños para los proyectos Aduanilla de Paiba Fase II y Macarena B, de acuerdo con los resultados de los procesos jurídicos adelantados. </t>
  </si>
  <si>
    <t>Gestionar recursos para la consolidación de los proyectos Aduanilla de Paiba Fase II y Macarena B.</t>
  </si>
  <si>
    <t>Ejecución del  Plan Maestro de Espacios Educativos para la Universidad Distrital Francisco José de Caldas que permita caracterizar necesidades de mantenimiento, adquisición, construcción y adecuación de los espacios existentes y las nuevas necesidades de formación.</t>
  </si>
  <si>
    <t>Planes Maestros formulados y aprobados = ∑ Planes Maestros formulados y aprobado</t>
  </si>
  <si>
    <t>1 Plan Maestro de Facultad aprobado en el componente de infraestructura (F. de Ingeniería)</t>
  </si>
  <si>
    <t>Oficina Asesora de Planeación y Control
Decanaturas de Facultad</t>
  </si>
  <si>
    <t xml:space="preserve">Formular los Planes Maestros de Espacios Educativos de las Facultades, Bienestar, Biblioteca y Laboratorios. </t>
  </si>
  <si>
    <t>Planes Maestros de Espacios Educativos de Facultad formulados y aprobados = ∑ Planes Maestros formulados y aprobado</t>
  </si>
  <si>
    <t xml:space="preserve">Crear y poner en marcha la Oficina de Ordenamiento y Gestión de Espacios Educativos, así como del Comité Asesor de Ordenamiento y Gestión de Espacios Educativos. </t>
  </si>
  <si>
    <t xml:space="preserve">Implementar el  Sistema de Información Geográfica para la Administración de la Infraestructura Física de la Universidad. </t>
  </si>
  <si>
    <t>Avance en la estructuración e implementación del  Sistema de Información Geográfica para la Administración de la Infraestructura Física  = (acciones ejecutadas/acciones establecidas)*100</t>
  </si>
  <si>
    <t xml:space="preserve"> - </t>
  </si>
  <si>
    <t>Oficina Asesora de Planeación y Control 
Rectoría</t>
  </si>
  <si>
    <t xml:space="preserve">Programación de las metas en el cuatrienio: </t>
  </si>
  <si>
    <t xml:space="preserve">Adelantar procesos de formación estructurados y continuos para el fortalecimiento de competencias TIC en estudiantes, docentes y administrativos de la Universidad, que permitan potenciar escenarios pedagógicos, didácticos, profesionales y humanos relacionados con el uso y apropiación de estas tecnologías. </t>
  </si>
  <si>
    <t xml:space="preserve">Docentes formados en competencias TIC = ∑ Docentes formados en competencias TIC </t>
  </si>
  <si>
    <t xml:space="preserve">Administrativos formados en competencias TIC  = ∑ Administrativos formados en competencias TIC </t>
  </si>
  <si>
    <t>Cursos  y talleres de formación desarrollados = ∑ Cursos  y talleres de formación desarrollados</t>
  </si>
  <si>
    <t>Potenciar la estructuración de ambientes de aprendizaje mediados con tecnologías y virtuales que favorezcan la apropiación de conocimiento, visiones emergentes sobre el aprendizaje, la enseñanza y la transformación de la manera como se apropian las tecnologías incorporando la producción de recursos digitales, y el estudio del impacto de las TIC al interior de la Universidad.</t>
  </si>
  <si>
    <t>Fortalecimiento de competencias en TIC a la comunidad educativa.</t>
  </si>
  <si>
    <t>Instancias de apoyo</t>
  </si>
  <si>
    <t>Revisar y ajustar el modelo de operación por procesos de la Universidad de acuerdo con los cambios y necesidades  institucionales.</t>
  </si>
  <si>
    <t>Implementar estrategias de comunicación, socialización y divulgación, articuladas con los procesos de inducción y reinducción.</t>
  </si>
  <si>
    <t xml:space="preserve">Estructurar y presentar proyecto para la mejora del Sistema Integrado de Gestión de la Universidad a partir de la incorporación de TIC. </t>
  </si>
  <si>
    <t>Oficina Asesora de Sistemas</t>
  </si>
  <si>
    <t xml:space="preserve">Avanzar en el proceso de virtualización de los Trámites y OPA´s de la Universidad inscritos en la plataforma SUIT a través del uso de TIC. </t>
  </si>
  <si>
    <t>Procesos actualizados = (procesos actualizados de acuerdo con la metodología de evaluación establecida/total de procesos)*100</t>
  </si>
  <si>
    <t>(Trámites y OPA's  virtualizados/Trámites y OPA's inscritos)*100</t>
  </si>
  <si>
    <t>Crear y gestionar la aprobación de la política de interinstitucionalización e internacionalización que incluya los elementos relacionados con: 1. Internacionalización del Currículo, 2. Dobles titulaciones, 3. Plurilingüismo, 4. Cooperación, 5. Internacionalización de la investigación, creación e innovación, 6. Movilidad académica y 7, Gestión integral, como un macroproceso de direccionamiento estratégico, para la formación integral de profesionales, investigadores y creadores.</t>
  </si>
  <si>
    <t xml:space="preserve">5% de los funcionarios </t>
  </si>
  <si>
    <t>Avance en consolidación y aprobación de la política = (etapas desarrolladas/etapas establecidas)*100</t>
  </si>
  <si>
    <t>90%
Documento Proyecto de Acuerdo para el CSU</t>
  </si>
  <si>
    <t>Documentos reglamentarios de la política aprobados = (Actos administrativos expedidos por el C. Académico/Actos administrativos reglamentarios requeridos)*100</t>
  </si>
  <si>
    <t>Avance en la estructuración e implementación del sistema de información = (acciones ejecutadas/acciones planeadas)*100</t>
  </si>
  <si>
    <t>ILUD
División de Recursos Humanos</t>
  </si>
  <si>
    <t>Nivel de implementación del Sistema de Gestión de Documentos Electrónicos de Archivos SGDEA =(Procesos del MOP parametrizados en el SGDEA/Total de procesos del MOP)*100</t>
  </si>
  <si>
    <t>Proyecto del SGDEA formulado por parte de la SAAM</t>
  </si>
  <si>
    <t>Documentos con fines archivísticos digitalizados = (Documentos digitalizados/Documentos con fines archivísticos seleccionados para digitalizar)*100</t>
  </si>
  <si>
    <t>Proyecto de digitalización en versión borrador en formulación</t>
  </si>
  <si>
    <t xml:space="preserve">Consolidar la agenda de investigaciones  que priorice las líneas de investigación institucionales, actores, tipologías y estrategias.  </t>
  </si>
  <si>
    <t>Estructurar y promover la creación del Instituto de Innovación y de Emprendimiento.</t>
  </si>
  <si>
    <t>Publindex: 8/19=42,11%
Scopus:2/19=10,52% 
SCIELO Colombia:6/19=31.57% 
Redalyc: 7/19=36,84%
Dialnet: 9/19=47,36%
DOAJ: 17/19=89,47%
Latindex catalogo 2.0: 7/19=36,84%
Redib: 17/19=89,47%</t>
  </si>
  <si>
    <t xml:space="preserve">Generar las políticas y lineamientos institucionales correspondientes a  propositos de formacion para el aprendizaje </t>
  </si>
  <si>
    <t>Programa de Gobierno
Observaciones CNA (3)</t>
  </si>
  <si>
    <t xml:space="preserve">Existe el proceso de Autoevaluación y Acreditación. </t>
  </si>
  <si>
    <t>Actualizar e institucionalizar los procesos y procedimientos en el marco del decreto 1330 de 2019 y de acuerdo a como la misma institucion esta repensando su mision curricular.</t>
  </si>
  <si>
    <t>Fortalecer la planta docente a través de la provisión de 120 de las plazas vacantes a docentes con doctorado, a traves del desarrollo de concursos públicos de méritos.</t>
  </si>
  <si>
    <t>Vicerrectoría Académica
Oficina Asesora de Sistemas</t>
  </si>
  <si>
    <t>Conceptos elaborados y presentados (de acuerdo con la hoja de ruta definida)  =  (conceptos emitidos/conceptos solicitados)*100</t>
  </si>
  <si>
    <t xml:space="preserve">Avance en la viabilización del Estatuto General por parte del Consejo Superior Universitario (hoja de ruta definida)  =  (N. de acciones realizadas/ N. de acciones definidas) *100                   </t>
  </si>
  <si>
    <t>Liderar el proceso de articulación de las Unidades Académicas y Administrativas en el proceso de formulación  y aprobación de los ajustes a los estatutos derivados  (estatuto estudiantil, docente, de personal administrativo, de planeación, financiero, etc.) de acuerdo con el nuevo Estatuto General.</t>
  </si>
  <si>
    <t xml:space="preserve">Articular y adaptar las Unidades Académicas y Administrativas de acuerdo con lo establecido en el proceso de reforma. </t>
  </si>
  <si>
    <t>Vicerrectoría Administrativa y Financiera
Oficina Asesora de Jurídica</t>
  </si>
  <si>
    <t xml:space="preserve">Evaluar jurídica, técnica y administrativamente la conveniencia de establecer una unidad de transformación digital que lidere los esfuerzos en materia de TIC institucionales e implementarla </t>
  </si>
  <si>
    <t>Implementar la Unidad de TIC en la Universidad Distrital</t>
  </si>
  <si>
    <t>Avance en la creación de la Oficina de contratación (Hoja de Ruta) = (acciones ejecutadas/acciones establecidas)*100</t>
  </si>
  <si>
    <t xml:space="preserve">Formular  y aprobar la política integral de comunicaciones. </t>
  </si>
  <si>
    <t xml:space="preserve">Implementar y realizar seguimiento a la política integral de comunicaciones. </t>
  </si>
  <si>
    <t xml:space="preserve">Confomación e implementación de una Unidad con carácter directivo que coordine y lidere los procesos  relacionados con TIC en la U. Distrital. </t>
  </si>
  <si>
    <t xml:space="preserve">Construir un instrumento de diagnóstico que permita identificar las causas de la deserción estudiantil desde perspectivas de derechos, diferenciales y de género, que permita establecer acciones para disminuir la deserción y aumentar la tasa de graduación. </t>
  </si>
  <si>
    <t xml:space="preserve">Nivel de implementación de la hoja de ruta = (acciones ejecutadas/acciones establecidas)*100 </t>
  </si>
  <si>
    <t>Programas y proyectos estructurados = ∑ Programas y proyectos estructurados</t>
  </si>
  <si>
    <t>Un procedimiento de valoración de impacto de producción académica institucionalizado.</t>
  </si>
  <si>
    <t>Establecer estímulos que reconozcan la producción de contenidos recursos digitales entre otros que generen un impacto en los proyectos curriculares.</t>
  </si>
  <si>
    <t>Población atendida = ∑ de estudiantes de colegios distritales formados o beneficiados del programa</t>
  </si>
  <si>
    <t xml:space="preserve">Planes de internacionalización de Facultad = ∑ Planes de internacionalización de Facultad aprobados por la instancia competente </t>
  </si>
  <si>
    <t>Se está trabajando el plan estratégico del talento humano formulado sin aprobación 2022- 2025 (son 12 actividades y se tiene 1 actividad para cumplir en 2022 que es la formulación, aprobación y socialización) y la gran apuesta 2023 implementación y ejecución de las actividades.</t>
  </si>
  <si>
    <t>Sistema de Bienestar orientado al Bienestar Institucional.</t>
  </si>
  <si>
    <t>En lo que compete al Centro de Bienestar en el  Plan Institucional de Bienestar e Incentivos liderado por la Div. de RH que se realiza  anualmente. 
Planes anuales del Dec. 612: 6 planes,  Plan estratégico de TH, Plan Institucional de Capacitación, Plan de Bienestar e Incentivos (liderados desde la División de Recursos Humanos). Plan Anual de Vacantes y Plan de Previsión de TH, Plan de Mejoramiento de Clima y  en el  correspondiente a SST.</t>
  </si>
  <si>
    <t>2 Estrategias: 1. Comunicación- divulgación de servicios (convocatorias y piezas gráficas)</t>
  </si>
  <si>
    <t xml:space="preserve">Estrategias de divulgación de los servicios de bienestar implementadas = ∑ Estrategias de divulgación de los servicios de bienestar diseñadas e implementadas. </t>
  </si>
  <si>
    <t>1 Sistema de información SIBUD en construcción (módulos de: Deportes, Cultura, Administrativo, Documental)</t>
  </si>
  <si>
    <t xml:space="preserve">Revisar y proponer nuevas disciplinas de práctica deportiva que incrementen la participación de miembros de la comunidad universitaria en el marco de la política de Bienestar Institucional. </t>
  </si>
  <si>
    <t>División de Recursos Físicos</t>
  </si>
  <si>
    <t>Tipo de anualización</t>
  </si>
  <si>
    <t>Creciente</t>
  </si>
  <si>
    <t>Suma</t>
  </si>
  <si>
    <t xml:space="preserve">Acto administrativo expedido = Número de actos administrativos que defina las responsabilidad , y el proceso de seguimiento y verificación frente a la consolidación y reporte de la información requerida por los diferentes sistemas del MEN. </t>
  </si>
  <si>
    <t>(8) Estatuto General, Estatuto Académico, Estatuto Estudiantil, Estatuto Docente, Estatuto de Bienestar Académico, Reglamento del Personal
Administrativo de los
Empleados, Estatuto de Investigaciones, Estatuto de Contratación.</t>
  </si>
  <si>
    <t>Constante</t>
  </si>
  <si>
    <t>Vicerrectoría Académica
CERI
ILUD
Comité Institucional de Currículo y Calidad</t>
  </si>
  <si>
    <t>Consolidación de la Agenda de Investigaciones de acuerdo con lo establecido en el Plan Estratégico de Desarrollo, que contemple mecanismos de diversificación, ampliación de programas y proyectos de investigación, sustentado en las fortalezas derivadas de las capacidades institucionales con una visión integradora de las diferentes unidades e instancias que promueven procesos de investigación-creación, en articulación con los diversos sectores sociales y productivos.</t>
  </si>
  <si>
    <t>Establecer e implementar mecanismos de priorización  (criterios y procedimientos)  de inversión en proyectos de investigación-creación conforme a los impactos planteados en términos del sector productivo y a la sociedad que involucren.</t>
  </si>
  <si>
    <t>Fortalecimiento de las instancias de vinculación y transferencia de conocimiento que permitan consolidar las capacidades existentes desde la divulgación de conocimiento por medio de las revistas científicas y demás procesos editoriales como escenarios que permiten disponer a la comunidad académica y sociedad en general el conocimiento generado desde procesos académicos, investigativos y creativos.</t>
  </si>
  <si>
    <t>Publindex: 7/19=36,84%
Scopus: 1/19=5.2% 
SCIELO Colombia: 6/19= 31.57% 
Redalyc: 5/19=26,31%
Dialnet: 9/19=47,36%
DOAJ: 16/19=84,21%
Latindex catalogo2.0: 6/19 =31,57%
Redib: 17/19=89,47%</t>
  </si>
  <si>
    <t>Publindex: 7/19=36,84%
Scopus:1/19=5.2% 
SCIELO Colombia:6/19=31.57% 
Redalyc: 5/19=26,31%
Dialnet: 9/19=47,36%
DOAJ: 15/19=78,94%
Latindex: Cambio a catalogo 2.0 = 6/19= 31,57%
Redib: 17/19=89,47%</t>
  </si>
  <si>
    <t>Decreciente</t>
  </si>
  <si>
    <t>Visibilidad de libros de investigación creación = (Número de libros de investigación creación editados y publicados cargados en RIUD con DOI/ Número de libros de investigación creación editados y publicados)*100</t>
  </si>
  <si>
    <t xml:space="preserve">Actualmente el MOP cuenta con 22 procesos. </t>
  </si>
  <si>
    <t>Avance en la estructuración e implementación del sistema de información del SIGUD = (acciones ejecutadas/acciones establecidas)*100</t>
  </si>
  <si>
    <t>Nivel de Ejecución de la Estrategia de comunicación, socialización y divulgación de la vigencia = (acciones implementadas/acciones priorizadas)*100</t>
  </si>
  <si>
    <t>Vicerrectoría Académica
CERI</t>
  </si>
  <si>
    <t xml:space="preserve">Convenios o alianzas estratégicas suscritos y activos = ∑ convenios o alianzas estratégicas suscritos y activos                                                              </t>
  </si>
  <si>
    <t>Construir el Plan de Ampliación y Actualización de la Planta Administrativa y promover su aprobación.</t>
  </si>
  <si>
    <t>Se inicia con el estudio de planta, y el plan de trabajo de la Resolución 003 de 2022 en el año 2022. Se hizo el diagnóstico de la planta al 30 de abril y se encuentra como insumo del plan anual de vacantes y plan de previsión del talento humano (por decreto 612 se cumple al 100%), pendiente para el plan de ampliación y actualización de la planta.
VAF: Plan intermedio de cubrimiento de vacantes para el 2022 y revisar estudio y plan de ampliación  2023-2025. Se requiere urgente un cambio, las vacantes están suspendidas desde el 2012, formalización del empleo. &gt;960 cargos  de CPS. Crear una comisión de trabajo para avanzar al respecto con todos los actores para reorganización.</t>
  </si>
  <si>
    <t>Avance en Implementación del sistema de información SIBUD = (acciones ejecutadas en los módulos de servicio /acciones establecidas para cada módulo)*100</t>
  </si>
  <si>
    <t xml:space="preserve">Formular y gestionar la aprobación de la Política de Género y Diversidades Sexuales alineada con los lineamientos en materia del gobierno distrital y nacional. </t>
  </si>
  <si>
    <t xml:space="preserve">Formular y gestionar la aprobación de la Política de Derechos Humanos alineada con los lineamientos en materia del gobierno distrital y nacional. </t>
  </si>
  <si>
    <t xml:space="preserve">Establecer la hoja de ruta para la implementación de la Política y hacer seguimiento a su implementación. </t>
  </si>
  <si>
    <t>Prevenir, atender y realizar seguimiento a la posibles vulneraciones de derechos humanos, discriminación y violencias basadas en género, violencia sexual a la comunidad universitaria, especialmente en contra de las mujeres y las personas LGBTIQ+.</t>
  </si>
  <si>
    <t>Reconocimiento a docentes en la producción de contenidos y recursos digitales conforme estándares y modelos de calidad. Ya se hace, a lo que hace referencia el CNA es a  Como se estimula la producción académica e investigativa, para que impacte los proyectos curriculares.</t>
  </si>
  <si>
    <t>Avance en la conformación del comité de  transformación digital = (Número de  actividades ejecutadas/ Número de actividades programadas) *100</t>
  </si>
  <si>
    <t xml:space="preserve">No existe el comité de transformación digital </t>
  </si>
  <si>
    <t>∑ convocatorias con financiación externa en las que participa la Universidad</t>
  </si>
  <si>
    <t xml:space="preserve">Modernizar la gestión documental física y electrónica de la Universidad en el marco del programa de gestión de documentos electrónicos y del Programa de Gestión Documental - PGD, y de los proyectos de digitalización y de implementación del Sistema de Gestión de Documentos Electrónicos de Archivo - SGDEA, del Plan Institucional de Archivos - PINAR. </t>
  </si>
  <si>
    <t>Instancias creadas = ∑ Unidades creadas</t>
  </si>
  <si>
    <t xml:space="preserve">Gestionar recursos para la construcción de nuevas sedes. </t>
  </si>
  <si>
    <t xml:space="preserve">Gestionar, en el corto plazo, espacios construidos en las diferentes modalidades (arriendo, comodato, convenios, etc.) para el eventual  funcionamiento de la Universidad de tal manera que se reduzca el déficit en materia de espacios físicos y que garanticen el cumplimiento de las metas de cobertura. </t>
  </si>
  <si>
    <t>100%
Acuerdo de aprobación de la política expedido por el  CSU</t>
  </si>
  <si>
    <t xml:space="preserve">Establecer directrices institucionales para el desarrollo de clases espejo con otras IES nacionales e internacionales en condiciones de calidad. </t>
  </si>
  <si>
    <t>Porcentaje de estudiantes con suficiencia en nivel B2 en una segunda lengua extranjera = (Número de estudiantes que obtuvieron el nivel de suficiencia B2 en el MCER / Total de estudiantes que cursaron y aprobaron segunda lengua III)*100</t>
  </si>
  <si>
    <t>Porcentaje de docentes con suficiencia en nivel B1 en una segunda lengua extranjera = (Número de docentes que demuestren suficiencia B1 en una lengua extranjera/ Total de docentes de la Universidad)*100</t>
  </si>
  <si>
    <t>Porcentaje de funcionarios con suficiencia en nivel B1 en una segunda lengua extranjera = Número de funcionarios que demuestren suficiencia B1 en una lengua extranjera/ Total de funcionarios de la Universidad)*100</t>
  </si>
  <si>
    <t>Innovación a través de TIC en los procesos de formación con estrategias de m-learning (mobil learning), blockchain, Gamificación, micro-credenciales, desarrollo de microaprendizaje, desarrollo  de contenidos con plataformas tipo MOOC y procesos de microcertificación.</t>
  </si>
  <si>
    <t xml:space="preserve">Dos procesos jurídicos en marcha en relación al Edificio de la Macarena B y los diseños de Paiba Fase II. </t>
  </si>
  <si>
    <t>Resultado/ Impacto</t>
  </si>
  <si>
    <t xml:space="preserve">Suma </t>
  </si>
  <si>
    <t>US: 16
WM: 23
ScN: 40</t>
  </si>
  <si>
    <t>US: 16
WM: 23
ScN: 38</t>
  </si>
  <si>
    <t>US: 16
WM: 23
ScN: 36</t>
  </si>
  <si>
    <t>QS: 243
Scimago internacional: 593</t>
  </si>
  <si>
    <t xml:space="preserve">Puesto según Rankings:  
QS: QS World University Rankings
ScM: Scimago Internacional </t>
  </si>
  <si>
    <t>QS: 240
Scimago internacional: 590</t>
  </si>
  <si>
    <t>QS: 242
Scimago internacional: 592</t>
  </si>
  <si>
    <t>QS: 241
Scimago internacional:591</t>
  </si>
  <si>
    <t>Gestionar  la infraestructura física necesaria, para consolidar la Facultad de Ciencias Matemáticas y Naturales</t>
  </si>
  <si>
    <t>Incorporar la accesibilidad y la afectividad como dimensiones integrantes de la revisión, actualización y construcción curricular a través de la formación y sensibilización de todos los actores intervinentes en los procesos de formación en la Universidad</t>
  </si>
  <si>
    <t>Modificar e implementar protocolos para la prevención y atención de casos de  exclusion, violencia basada en género, violencia sexual y vulneaciones de derechos humanos en el contexto universitario.</t>
  </si>
  <si>
    <t xml:space="preserve">Un protocolo existente de atención de casos de Violencias Basados en Género (VBG) y de Exclusión </t>
  </si>
  <si>
    <t xml:space="preserve">Estructurar, proponer e implementar Programas/Proyectos de investigación en educación que transformen las practicas educativas, y fomenten la inclusión. </t>
  </si>
  <si>
    <t xml:space="preserve">Gestionar la aprobación del Documento de Acuerdo de Política de Educación Superior incluyente y accesible, y procurar su apropiación </t>
  </si>
  <si>
    <t>Avance en la apropiación de la política = (acciones ejecutadas/acciones establecidas)*100</t>
  </si>
  <si>
    <t>Contenidos desarrollados = (∑ Número de contenidos desarrollados/ Contenidos objetivo de desarrollo) *100</t>
  </si>
  <si>
    <t>%  de contenidos desarrollados = (∑ Número de contenidos desarrollados/ Numero de Contenidos objetivo de desarrollo) *100</t>
  </si>
  <si>
    <t>% Cursos desarrollados = (∑ Número de cursos desarrollados/ Número de Cursos objetivo de desarrollo) *100</t>
  </si>
  <si>
    <t xml:space="preserve">Porcentaje de personas beneficiadas por los programas de inclusión  (Formación)=  (personas de la Comunidad Universitaria beneficiados por los programas de inclusión /población objetivo para los programas de inclusión)*100 </t>
  </si>
  <si>
    <t xml:space="preserve">F. Artes: 
F. Ciencias y Educación: 
F. Ciencias Matemáticas y Naturales: 
F. de Ingeniería:
FAMARENA: 1
F. Tecnológica:
Total: </t>
  </si>
  <si>
    <t xml:space="preserve">F. Artes: 
F. Ciencias y Educación: 
F. Ciencias Matemáticas y Naturales: 
F. de Ingeniería:
FAMARENA: 0
F. Tecnológica:
Total: </t>
  </si>
  <si>
    <t>No solo es la actualización de la política sino su implementación.</t>
  </si>
  <si>
    <t xml:space="preserve">un estudio técnico y estudios previos para un proyecto de accesibilidad para algunas sedes y cuenta con ficha técnica del 2018 </t>
  </si>
  <si>
    <t xml:space="preserve">
Identificar  las necesidades y gestionar la ejecución  de mejoramiento y mantenimiento de la infraestructura física en las diferentes sedes de la Universidad</t>
  </si>
  <si>
    <t xml:space="preserve">
Oficina Asesora de Planeación y Control
Vicerrectoría Administrativa y Financiera</t>
  </si>
  <si>
    <t>PASST 2021:  97,5%</t>
  </si>
  <si>
    <t>Rectoría
Vicerrectoría Académica
Vicerrectoría Administrativa y Financiera
Centro de Bienestar Institucional
División de Recursos Humanos
División de Recursos Físicos</t>
  </si>
  <si>
    <t>Propuesta de Gobierno
Ejercicio de Prospectiva
Observaciones CNA(1)</t>
  </si>
  <si>
    <t>Propuesta de Gobierno
Observaciones CNA(1)</t>
  </si>
  <si>
    <t>Revisar y proponer nuevas disciplinas de práctica deportiva que incrementen la participación de miembros de la comunidad universitaria.</t>
  </si>
  <si>
    <t>Lineamientos de acción
(Estrategias)</t>
  </si>
  <si>
    <t>Acciones orientadoras 
(proyectos)</t>
  </si>
  <si>
    <t xml:space="preserve">Propuesta de Gobierno
Observación CNA (9,1 y 2)
</t>
  </si>
  <si>
    <t>Propuesta de Gobierno
Observaciones CNA (5, 6)</t>
  </si>
  <si>
    <t>Propuesta de Gobierno
Observación CNA (7)</t>
  </si>
  <si>
    <t>Propuesta de Gobierno
Observaciones CNA (4,7)</t>
  </si>
  <si>
    <t xml:space="preserve">Crear y ejecutar un sistema de evaluación de impacto y pertinencia de los servicios del Centro de Bienestar Institucional que permita identificar las oportunidades de mejora en los servicios ofertados, teniendo en cuenta enfoques de derechos, diferenciales y de género.  </t>
  </si>
  <si>
    <t>Propuesta de Gobierno
Observaciones CNA (5, 13)</t>
  </si>
  <si>
    <t xml:space="preserve">Propuesta de Gobierno
</t>
  </si>
  <si>
    <t xml:space="preserve">Programa de Gobierno
Observaciones CNA (15)
</t>
  </si>
  <si>
    <t>Ejercicio de prospectiva
Observaciones CNA (10, 15)</t>
  </si>
  <si>
    <t xml:space="preserve">Construir un instrumento de diagnóstico que permita identificar las causas de la deserción estudiantil desde perspectivas de derechos, diferenciales y de género, que permita establecer acciones para disminuir la deserción y aumentar la tasa de graduación.  </t>
  </si>
  <si>
    <t>Meta 13
Meta 16</t>
  </si>
  <si>
    <t>Meta 21
Meta 22</t>
  </si>
  <si>
    <t>Meta 6 
Meta 7
Meta 24</t>
  </si>
  <si>
    <t>Fomento del relacionamiento con el sector productivo y la sociedad en general desde la búsqueda de estrategias orientadas a lograr la incorporación de los resultados obtenidos en proyectos de investigación-creación como elementos clave para fomentar el desarrollo económico y social de la ciudad, la región y el país</t>
  </si>
  <si>
    <t>Meta 25
Meta 27</t>
  </si>
  <si>
    <t>Meta 27
Meta 28</t>
  </si>
  <si>
    <t>Meta 14
Meta 36
Meta 40</t>
  </si>
  <si>
    <t>Meta 37
Meta 42</t>
  </si>
  <si>
    <t>Meta 33
Meta 34
Meta 42</t>
  </si>
  <si>
    <t>PED</t>
  </si>
  <si>
    <t>Meta 35
Meta 41</t>
  </si>
  <si>
    <t xml:space="preserve">Meta 3
Meta 4
Meta 5
</t>
  </si>
  <si>
    <t>Meta 14
Meta 26</t>
  </si>
  <si>
    <t>Meta 38
Meta 39</t>
  </si>
  <si>
    <t>Formular e implementar los Planes de Mejoramiento de los Programas en el marco de los procesos de obtención y renovación de registros calificados, así como aquellos relacionados con el proceso de Acreditación y Reacreditación de Alta Calidad de programas.</t>
  </si>
  <si>
    <t>ADICIONAL</t>
  </si>
  <si>
    <t>CNA</t>
  </si>
  <si>
    <t>Instancias lideres, coordinadoras o responsables</t>
  </si>
  <si>
    <t>Nivel de actualización de los procesos = (Documentos creados o actualizados aprobados/documentación priorizada )*100.</t>
  </si>
  <si>
    <t>Generar las políticas y lineamientos institucionales correspondientes a  propositos de formacion para el aprendizaje.</t>
  </si>
  <si>
    <t>Identificar  las necesidades y gestionar la ejecución  de mejoramiento y mantenimiento de la infraestructura física en las diferentes sedes de la Universidad</t>
  </si>
  <si>
    <t>Formular proyecto de educación inclusiva en donde  se  caracterice  a la población objetivo de la universidad y se determine los mecanismos de educación  con  mediación tecnológica.</t>
  </si>
  <si>
    <r>
      <t xml:space="preserve">Cursos desarrollados = </t>
    </r>
    <r>
      <rPr>
        <sz val="10"/>
        <rFont val="Calibri"/>
        <family val="2"/>
      </rPr>
      <t>∑</t>
    </r>
    <r>
      <rPr>
        <sz val="10"/>
        <rFont val="Calibri"/>
        <family val="2"/>
        <scheme val="minor"/>
      </rPr>
      <t xml:space="preserve"> número de cursos desarrollados e implementados</t>
    </r>
  </si>
  <si>
    <t>Protocolos establecidos = ∑ Protocolos establecidos, avalados e implementado</t>
  </si>
  <si>
    <t>Estudiantes formados en competencias TIC  = ∑ estudiantes formados en competencias TIC</t>
  </si>
  <si>
    <t>Meta del Plan (2025)</t>
  </si>
  <si>
    <t xml:space="preserve">Subsistema de Seguridad y Salud en el Trabajo </t>
  </si>
  <si>
    <t>Implementar el  Sistema de Información Geográfica para la Administración de la Infraestructura Física de la Universidad.</t>
  </si>
  <si>
    <t>Nivel de avance de estudios de conveniencia y oportunidad para accesibilidad = (Estudios de Conveniencia y Oportunidad de accesibilidad de la infraestructura física presentados /Necesidades de accesibilidad de la Infraestructura física identificadas )*100</t>
  </si>
  <si>
    <t>Proyectos y acciones orientadoras</t>
  </si>
  <si>
    <t xml:space="preserve">Proyectos y acciones orientadoras </t>
  </si>
  <si>
    <t>Promover una cultura institucional que reconozca y garantice los derechos humanos con acciones afirmativas para lograr condiciones de igualdad, equidad, no discriminación y erradicación de las violencias en contra de las mujeres, las diversidades sexuales y de género.</t>
  </si>
  <si>
    <t>Programas que actualizan su plan de estudios = (∑  Programas que actualizan su plan de estudios con los lineamientos de resultados de aprendizaje e innovaciones mediadas por tecnología/∑  Programas que requieren actualizar su plan de estudios con los lineamientos de resultados de aprendizaje e innovaciones mediadas por tecnología)*100</t>
  </si>
  <si>
    <t>US: 15
WM: 22
ScN: 35</t>
  </si>
  <si>
    <t>Desarrollo de estrategias que permitan realizar reportes de información con criterios de calidad y oportunidad en los diferentes sistemas de información del Ministerio de Educación Nacional, MEN (SPADIES, SNIES, SACES, etc.).</t>
  </si>
  <si>
    <t>PRESUPUESTO INVERSIÓN</t>
  </si>
  <si>
    <t>Funcionamiento</t>
  </si>
  <si>
    <t>Inversión</t>
  </si>
  <si>
    <t>Total presupuesto</t>
  </si>
  <si>
    <t>Presupuesto disponible</t>
  </si>
  <si>
    <t>Presupuesto por programar</t>
  </si>
  <si>
    <t>Presupuesto por gestionar</t>
  </si>
  <si>
    <t xml:space="preserve">El presupuesto relacionado considera el equipo de apoyo y servicios profesionales (CPS y funcionarios de planta) de la Vicerrectoría Académica y el Comité Institucional de Currículo y Calidad (Resolución 322 de 2022 de Rectoría) para la vigencia 2022. Para la proyección de las vigencias 2023, 2024 y 2025 se asume el valor del año anterior más el incremento respectivo (variación SMLMV). </t>
  </si>
  <si>
    <t xml:space="preserve">Para el costeo se considera el equipo de apoyo y servicios profesionales de las Facultades y los proyectos curriculares (Coordinadores y asistentes) que lideran el proceso de acreditación de cada programa, así como los equipos de las Decanaturas de Facultad, la Vicerrectoría Académica y el Comité Institucional de Currículo y Calidad que apoyan dichos procesos. </t>
  </si>
  <si>
    <t xml:space="preserve">El Plan de Mejoramiento Institucional derivado de las 16 observaciones del Ministerio de Educación Nacional en la resolución de reacreditación institucional de alta calidad se genera a partir de lo establecido en el Plan Indicativo, es decir, se atiende desde las estrategias y acciones definidas en este Plan. Dicho esto, la formulación se lidera desde la Vicerrectoría Académica con el acompañamiento técnico de la Oficina Asesora de Planeación y Control y la Vicerrectoría Administrativa y Financiera. 
Así las cosas, para el costeo se establecen dos enfoques: 
• La formulación del plan, que se hace a través de los equipos de apoyo y profesionales de las Unidades que intervienen. 
• La implementación del plan de mejoramiento, que se hará a partir del cumplimiento de las acciones del Plan Indicativo, por lo cual, el costeo de su implementación se consideran dentro del mismo. </t>
  </si>
  <si>
    <t>Teniendo en cuenta que los planes de mejoramiento derivados de los procesos de autoevaluación, tanto para renovación de registro calificado como acreditación/reacreditación de alta calidad se promueven desde los proyectos curriculares y las facultades, para el costeo se considera el equipo de apoyo y servicios profesionales de las Facultades y los proyectos curriculares (Coordinadores y asistentes).</t>
  </si>
  <si>
    <t>Para el costeo se considera el equipo de apoyo y servicios profesionales de las Facultades y los proyectos curriculares (Coordinadores y asistentes).</t>
  </si>
  <si>
    <t xml:space="preserve">Teniendo en cuenta que la implementación del proyecto se lidera desde el Centro ACACIA, se costea  a partir del equipo de apoyo y servicios profesionales (CPS y funcionarios de planta) del Centro, así como los docentes que participan en el mismo. </t>
  </si>
  <si>
    <t>5 Facultades operando (Artes, Ciencias y Educación, Ingeniería, FAMARENA y Tecnológica) y 1 aprobada (Ciencias Matemáticas y Naturales)</t>
  </si>
  <si>
    <t>Para el costeo se establece un supuesto que considera la Unidad como una Instancia de carácter académico-administrativo, se toma como referencia el costo de la descarga completa de un docente que será el Coordinador de la Unidad de Posgrados. Para el equipo de trabajo se asume un equipo de trabajo compuesto por: 1 especializado, 2 profesionales y 1 técnico.</t>
  </si>
  <si>
    <t>Actualmente está el equipo del SIGUD desarrollando las actividades de actualización y ajustes de los procesos. Así las cosas, el valor que se toma como referencia obedece al equipo en mención. 4 profesionales y un funcionario de planta.</t>
  </si>
  <si>
    <t>La formulación de la política de Bienestar se lideraría desde el Centro de Bienestar Institucional, la Rectoría,  la Vicerrectoría Académica y la Vicerrectoría Administrativa y Financiera, de esta manera, no requeriría de recursos adicionales.</t>
  </si>
  <si>
    <t>Los planes y programas de ley en materia talento humano y bienestar social y laboral se lideran desde el Centro de Bienestar Institucional, la División de Recursos Humanos el Subsistema de Gestión de la Seguridad y Salud en el Trabajo SG-SST, por lo que para el costeo de la actividad se tiene en cuenta el equipo de trabajo de las mismas.</t>
  </si>
  <si>
    <t>Para el costeo se considera el equipo de profesionales del Subsistema de Gestión de la Seguridad y Salud en el Trabajo SG-SST, encargado de la implementación del Plan de Seguridad y Salud en el Trabajo de la Universidad Distrital.</t>
  </si>
  <si>
    <t>La acción se implementaría desde el Centro de Bienestar Institucional a partir de las capacidades instaladas.</t>
  </si>
  <si>
    <t xml:space="preserve">La acción se implementaría desde el Centro de Bienestar Institucional a partir de las capacidades instaladas, así, no requeriría de la asignación de recursos adicionales. </t>
  </si>
  <si>
    <t>El Centro de Bienestar presta servicios en el marco de 6 grupos: Desarrollo Humano, Desarrollo Socioeconómico, Deportes, Egresados, Socioambiental, Cultura; se costea la ejecución de la acción a partir del equipo de profesionales de la dependencia.</t>
  </si>
  <si>
    <t>Para el costeo se tiene como referencia el presupuesto de la Oficina de Docencia, tanto del personal por contratación de servicios y el jefe de la Oficina en mención.</t>
  </si>
  <si>
    <t>El costo de la implementación de la política dependerá de los elementos establecidos en la misma, por lo que debe tener un ejercicio propio de evaluación financiera.</t>
  </si>
  <si>
    <t>La elaboración del Plan Maestro de Espacios Educativo se lidera desde la Oficina Asesora de Planeación y Control, así como la asesora de la Rectoría encargada de las temáticas de infraestructura física.
El cumplimiento de la meta se apalanca a través del proyecto de inversión 7896 - Fortalecimiento y Ampliación de la infraestructura física de la Universidad Distrital Francisco José de Caldas, específicamente la Meta 5. Formular 1 Plan de Espacios Educativos.</t>
  </si>
  <si>
    <t>Para costear la Unidad de Contratación, se toma como referencia el salario de un jefe de División, y un equipo de trabajo conformado por 2 asesores I, 5 profesionales Especializados y 10 profesionales.
Se asume una tasa de incremento de 9,5% para la vigencia 2023, de 6,6% para el 2024 y 4% en el 2025.</t>
  </si>
  <si>
    <t>Para adelantar los procesos jurídicos pertinentes para viabilizar el desarrollo de los proyectos de Aduanilla de Paiba fase II y Macarena B, se tiene en cuenta los recursos que se destinan a la Oficina Asesora Jurídica para la contratación del personal profesional y de apoyo a la gestión. Así como el sueldo del jefe de la dependencia.</t>
  </si>
  <si>
    <t>Para el costeo de la actualización de los estudios y diseños de los proyectos de Aduanilla de Paiba fase II y Macarena B, se toma como supuesto un 30% del costo de m² diseñado del proyecto de la Facultad de Ingeniería ($289.321.) con un aumento por IPC de 8,5% para la vigencia 2023, de 5,6% en el 2024 y de 3% para el 2025.</t>
  </si>
  <si>
    <t>El presupuesto relacionado considera el equipo de apoyo y servicios profesionales (CPS y funcionarios de planta) de las Facultades y el CERI para la vigencia 2022. Para la proyección de las vigencias 2023, 2024 y 2025 se asume el valor del año anterior más el incremento respectivo (variación SMLMV).</t>
  </si>
  <si>
    <t xml:space="preserve">La acción se lidera desde los diferentes cuerpos colegiados </t>
  </si>
  <si>
    <t>La acción se desarrolla a través de los equipos directivos de la Universidad.</t>
  </si>
  <si>
    <t xml:space="preserve">Esta acción es el resultado de la implementación del sistema. </t>
  </si>
  <si>
    <r>
      <t>Se asume que la formulación de la política de interinstitucionalización e internacionalización se lidera desde la Vicerrectoría Académica, el Comité Institucional de Currículo y Calidad (Resolución 322 de 2022 de Rectoría), el CERI y la descarga del Director del ILUD</t>
    </r>
    <r>
      <rPr>
        <sz val="10"/>
        <color rgb="FFFF0000"/>
        <rFont val="Calibri"/>
        <family val="2"/>
        <scheme val="minor"/>
      </rPr>
      <t xml:space="preserve"> </t>
    </r>
    <r>
      <rPr>
        <sz val="10"/>
        <rFont val="Calibri"/>
        <family val="2"/>
        <scheme val="minor"/>
      </rPr>
      <t>por lo que el presupuesto relacionado considera el equipo de apoyo y servicios profesionales (CPS y funcionarios de planta) y los jefes de dichas dependencias para la vigencia 2022.</t>
    </r>
  </si>
  <si>
    <t>Se asume que la formulación de la política de interinstitucionalización e internacionalización se lidera desde la Vicerrectoría Académica, el Comité Institucional de Currículo y Calidad (Resolución 322 de 2022 de Rectoría), el CERI y la descarga del Director del ILUD por lo que el presupuesto relacionado considera el equipo de apoyo y servicios profesionales (CPS y funcionarios de planta) y los jefes de dichas dependencias para la vigencia 2022. Para la proyección de las vigencias 2023, 2024 y 2025 se asume el valor del año anterior más el incremento respectivo (variación SMLMV).</t>
  </si>
  <si>
    <t>Para el desarrollo del proyecto se toma como referencia el presupuesto destinado para el personal profesional y de apoyo a la gestión de la Oficina Asesora de Sistemas y la Red de Datos UDNet. 
El cumplimiento de la meta se apalanca a través del proyecto de inversión 7900- , específicamente la Meta 1. Actualizar 1 repositorio de arquitectura Institucional definido para la Universidad Distrital con los componentes estratégicos (100%), organizacionales (100%), procesos (100%), ejercicios de arquitectura implementados (100%) .</t>
  </si>
  <si>
    <t>Programas formados =(Programas formados o sensibilizados/programas activos en la Institución)*100</t>
  </si>
  <si>
    <t xml:space="preserve">CADEP ACACIA </t>
  </si>
  <si>
    <t xml:space="preserve">Actualizar la normatividad que rige el procedimiento de concurso público de méritos para la provisión de cargos en la planta docente, de acuerdo con las necesidades académicas de la institución, garantizando criterios de equidad e igualdad. </t>
  </si>
  <si>
    <t xml:space="preserve">Viabilizar la creación de nuevas facultades que permitan cerrar el ciclo formativo, ampliar el campo de acción de la Universidad y fortalecer los procesos de formación, investigación e innovación y extensión y proyección social. </t>
  </si>
  <si>
    <t>Rectoría
Vicerrectoría Académica
Centro de Relaciones Interinstitucionales
Centro de Bienestar Institucional</t>
  </si>
  <si>
    <t>Oficina Asesora de Planeación y Control 
Líderes y Gestores de procesos
Promotores</t>
  </si>
  <si>
    <t>Oficina Asesora de Planeación y Control 
Vicerrectoría Administrativa y Financiera
División de Recursos Humanos
PlanesTIC
RITA</t>
  </si>
  <si>
    <t>Comité Institucional de Currículo y Calidad
Decanaturas de Facultad</t>
  </si>
  <si>
    <t>Vicerrectoría Académica
Comité Institucional de Currículo y Calidad</t>
  </si>
  <si>
    <t xml:space="preserve">Vicerrectoría Académica
Comité Institucional de Currículo y Calidad           </t>
  </si>
  <si>
    <t xml:space="preserve">Vicerrectoría Académica
Decanaturas de Facultad         </t>
  </si>
  <si>
    <t>Consejo Académico
Rectoría</t>
  </si>
  <si>
    <t>Equipo gestor de cada Programa
Comité Institucional de Currículo y Calidad</t>
  </si>
  <si>
    <t>Comisión Accidental de Planeación
Rectoría</t>
  </si>
  <si>
    <t>Vicerrectoría Académica
Vicerrectoría Administrativa y Financiera
Oficina Asesora de Planeación y Control</t>
  </si>
  <si>
    <t>Avance en la creación de la Oficina de TIC (Hoja de ruta) = (acciones ejecutadas/acciones establecidas)*100</t>
  </si>
  <si>
    <t>Emisora LAUD 90.4 F.M.
Sección de Publicaciones</t>
  </si>
  <si>
    <t>Rectoría
Vicerrectoría Académica
Vicerrectoría Administrativa y Financiera
Oficina Asesora de Planeación y Control 
División de Recursos Financieros</t>
  </si>
  <si>
    <t>Sección de Biblioteca
CIDC
Sección de Publicaciones</t>
  </si>
  <si>
    <t>CIDC
OTRI</t>
  </si>
  <si>
    <t>Oficina Asesora de Planeación y Control
Oficina Asesora de Jurídica</t>
  </si>
  <si>
    <t>Centro de Bienestar Institucional
División de Recursos Humanos</t>
  </si>
  <si>
    <t xml:space="preserve">Rectoría
Vicerrectoría Académica
Vicerrectoría Administrativa y Financiera
Subsistema de Seguridad y Salud en el Trabajo </t>
  </si>
  <si>
    <t>Rectoría
Vicerrectoría Académica
Vicerrectoría Administrativa y Financiera</t>
  </si>
  <si>
    <t>Oficina Asesora de Planeación y Control 
División de Recursos Físicos</t>
  </si>
  <si>
    <t xml:space="preserve">Vicerrectoría Académica
ACACIA </t>
  </si>
  <si>
    <t>Comité de Género y Diversidades Sexuales</t>
  </si>
  <si>
    <t>Gestionar la aprobación del Documento de Acuerdo de Política de Educación Superior incluyente y accesible, y procurar su apropiación.</t>
  </si>
  <si>
    <t xml:space="preserve">Definir el Plan para la implementación de la Política de Género y Diversidades Sexuales y hacer seguimiento a su implementación. </t>
  </si>
  <si>
    <t xml:space="preserve">Establecer la hoja de ruta para la implementación de la Política de Derechos Humanos y hacer seguimiento a su implementación. </t>
  </si>
  <si>
    <t>CADEP ACACIA 
Proyecto NEEIS</t>
  </si>
  <si>
    <t>Población atendida = (∑ de personas beneficiarias/ ∑ de personas de la comunidad universitaria en materia )*100</t>
  </si>
  <si>
    <t>Oficina de Docencia
Comité de Personal Docente y Asignación de Puntaje</t>
  </si>
  <si>
    <t>Vicerrectoría Académica
PlanesTIC
Docentes promotores de cada programa</t>
  </si>
  <si>
    <t>Comité de Transformación Digital</t>
  </si>
  <si>
    <t>Por definir</t>
  </si>
  <si>
    <t>Rectoría
CERI</t>
  </si>
  <si>
    <t>Secretaría General
Oficina Asesora de Sistemas
Red de Datos UDNET
Oficina Asesora de Jurídica
Oficina Asesora de Planeación y Control
Oficina Asesora de Control Interno</t>
  </si>
  <si>
    <t>Rectoría
División de Recursos Físicos</t>
  </si>
  <si>
    <t>Oficina Asesora de Jurídica</t>
  </si>
  <si>
    <t xml:space="preserve">Formular los Planes Maestros de Espacios Educativos de las Facultades, Biblioteca y Laboratorios. </t>
  </si>
  <si>
    <t>Sección de Biblioteca
Comité Institucional de Laboratorios</t>
  </si>
  <si>
    <t>Oficina Asesora de Planeación y Control 
Vicerrectoría Académica</t>
  </si>
  <si>
    <t>Centro de Bienestar Institucional
Comité Institucional de Laboratorios
Sección de Biblioteca
Decanaturas de Facultad</t>
  </si>
  <si>
    <t>Oficina Asesora Jurídica
Decanaturas de Facultad</t>
  </si>
  <si>
    <t xml:space="preserve">Sedes con estudios y diseños elaborados = ∑ Sedes con estudios y diseños elaborados </t>
  </si>
  <si>
    <t>Rectoría
Oficina Asesora de Planeación y Control 
División de Recursos Físicos</t>
  </si>
  <si>
    <t xml:space="preserve">Rectoría
Decanatura Facultad de Ingeniería </t>
  </si>
  <si>
    <t>División de Recursos Humanos
Vicerrectoría Administrativa y Financiera</t>
  </si>
  <si>
    <t>Rectoría 
Vicerrectoría Administrativa y Financiera
Oficina Asesora de Planeación y Control
Oficina Asesora de Jurídica
Subsistema de Seguridad y Salud en el Trabajo
Centro de Bienestar Institucional</t>
  </si>
  <si>
    <t xml:space="preserve">El presupuesto relacionado considera el equipo de apoyo y servicios profesionales de la Vicerrectoría Académica y el Comité Institucional de Currículo y Calidad (Resolución 322 de 2022 de Rectoría) para la vigencia 2022. Para la proyección de las vigencias 2023, 2024 y 2025 se asume el valor del año anterior más el incremento respectivo (variación SMLMV). </t>
  </si>
  <si>
    <t>El presupuesto relacionado considera el equipo de apoyo y servicios profesionales de la Vicerrectoría Académica.</t>
  </si>
  <si>
    <t>Para el costeo se  considera el presupuesto de funcionamiento de la RED, la OAS y RITA y para el responsable de la misma se asume el sueldo de un Jefe de Oficina Asesora.</t>
  </si>
  <si>
    <t>Actualmente existen instancias que realizan y atienden funciones relacionada con las Tecnologías de la Información y Comunicaciones como son: PlanEsTIC, Oficina Asesora de Sistemas, RITA y Red de Datos UDNet. En ese sentido, se toma como referencia el costo de los equipos de las instancias en mención, con sus respectivos jefes.</t>
  </si>
  <si>
    <t>Se asume que la formulación de la política se lidera desde la Sección de Publicaciones y la Emisora, por lo que el presupuesto relacionado considera el equipo de apoyo y servicios profesionales (CPS y funcionarios de planta) de dichas dependencias.</t>
  </si>
  <si>
    <t>Total</t>
  </si>
  <si>
    <t>Se considera un perfil de asesor I de la Vicerrectoría Académica que elabore la propuesta del sistema.</t>
  </si>
  <si>
    <t xml:space="preserve">Se suma </t>
  </si>
  <si>
    <t>No se suma</t>
  </si>
  <si>
    <t>Se suma</t>
  </si>
  <si>
    <t>Pendiente</t>
  </si>
  <si>
    <t>No aplica</t>
  </si>
  <si>
    <t>La elaboración del Plan Maestro de Espacios Educativo se lidera desde la Oficina Asesora de Planeación y Control, así como la asesora de la Rectoría encargada de las temáticas de infraestructura física.</t>
  </si>
  <si>
    <t>se suma</t>
  </si>
  <si>
    <t>no se suma</t>
  </si>
  <si>
    <t>no aplica</t>
  </si>
  <si>
    <t>Para el desarrollo de la acción, se considera el presupuesto que se destina por funcionamiento para la contratación del personal del Comité de PlanEsTIC y la Red RITA.</t>
  </si>
  <si>
    <t>No se suma considerada en la fila 33</t>
  </si>
  <si>
    <t>No se suma considerada en la fila 8</t>
  </si>
  <si>
    <t>Se suma considerar solo CERI</t>
  </si>
  <si>
    <t xml:space="preserve">No se suma considerada en la fila 57 </t>
  </si>
  <si>
    <t>No se suma considerado en la fila 106</t>
  </si>
  <si>
    <t>No se suma considerada en la fila 48</t>
  </si>
  <si>
    <t>No se suma considerada en la fila 39</t>
  </si>
  <si>
    <t>No se suma considerada en la fila 68</t>
  </si>
  <si>
    <t>No se suma se considera en la fila 11</t>
  </si>
  <si>
    <t>No se suma se considera en la fila 36</t>
  </si>
  <si>
    <t>No se suma se considera en la fila 76</t>
  </si>
  <si>
    <t>Se suma considerar solo Biblioteca</t>
  </si>
  <si>
    <t>Se suma considerar solo el jefe lo demás ya esta en la fila 95</t>
  </si>
  <si>
    <t>Se suma considerar solo el componente de inversión</t>
  </si>
  <si>
    <t>Se suma considerar solo la descarga del director del ILUD</t>
  </si>
  <si>
    <t>Actualizar e institucionalizar los procesos y procedimientos en el marco del decreto 1330 de 2019 y de acuerdo a como la misma institución esta repensando su misión curricular.</t>
  </si>
  <si>
    <t>Decanaturas de Facultad
Comité Institucional de Currículo y Calidad</t>
  </si>
  <si>
    <t>Vicerrectoría Académica
Coordinaciones de Programas</t>
  </si>
  <si>
    <t>Incorporar la accesibilidad y la afectividad como dimensiones integrantes de la revisión, actualización y construcción curricular a través de la formación y sensibilización de todos los actores intervinientes en los procesos de formación en la Universidad</t>
  </si>
  <si>
    <t>Fortalecer la planta docente a través de la provisión de 120 de las plazas vacantes a docentes con doctorado, a través del desarrollo de concursos públicos de méritos.</t>
  </si>
  <si>
    <t>Estructuración y fortalecimiento del sistema Integrado de postgrados que respete los saberes y conocimientos que permitan una gestión basada en resultados de sostenibilidad de la oferta posgradual.</t>
  </si>
  <si>
    <t>Avance en la creación y consolidación del observatorio de Empleabilidad = (acciones ejecutadas/acciones establecidas)*100</t>
  </si>
  <si>
    <t xml:space="preserve">Revisar y ajustar, de ser necesarios, los sistemas de información de la Universidad que capturan y almacenan la información, con el fin de que los mismos respondan a los parámetros y condiciones requeridas por la Institución. </t>
  </si>
  <si>
    <t>Avance en la revisión y ajuste de los sistemas  de la Universidad que capturan y almacenan la información, con el fin de que los mismos respondan a los parámetros y condiciones requeridas = (acciones revisión y ajustes ejecutadas de los sistemas/acciones establecidas)*100</t>
  </si>
  <si>
    <t xml:space="preserve">Declaración de la identidad de la Universidad Distrital Francisco José de Caldas y a partir de ella,  fortalecer la gestión del conocimiento y su apropiación social en la Universidad, buscando practicas de excelencia que articulen lo administrativo, académico y social desde el reconocimiento de los derechos humanos en condiciones de igualdad y equidad. </t>
  </si>
  <si>
    <t xml:space="preserve">Construir un modelo de gestión que articule lo administrativo, académico y  social de la Universidad Distrital Francisco José de Caldas coherente con su identidad, fortaleciendo la gestión del conocimiento y su apropiación. </t>
  </si>
  <si>
    <t>Actualización de la planeación estratégica =  (Instrumentos actualizados/instrumentos revisados y priorizados de ajuste)*100</t>
  </si>
  <si>
    <t xml:space="preserve">Conformación e implementación de una Unidad con carácter directivo que coordine y lidere los procesos  relacionados con TIC en la U. Distrital. </t>
  </si>
  <si>
    <t>Avance en la  implementación de la Oficina de TIC  = (acciones ejecutadas/acciones a implementar)*100</t>
  </si>
  <si>
    <t xml:space="preserve">Fortalecimiento del Sistema Integrado de  Gestión de la Universidad, SIGUD y su marco de referencia el Modelo Integrado de Planeación y Gestión, MIPG, de tal manera que se consolide como una herramienta integrada para la gestión institucional. </t>
  </si>
  <si>
    <t>La propuesta se política de comunicaciones había sido rechazada por la comisión 1era del CSU.</t>
  </si>
  <si>
    <t>Avance en la implementación de la política (Plan de acción) =   (acciones ejecutadas  /acciones establecidas)*100</t>
  </si>
  <si>
    <t>Avance en la construcción de la agenda de Investigaciones  = (acciones ejecutadas/acciones establecidas)*100</t>
  </si>
  <si>
    <t>Avance en la actualización de la política editorial acorde con los objetivos de ciencia abierta y las realidades actuales de divulgación = (acciones ejecutadas/acciones planteadas)*100</t>
  </si>
  <si>
    <t xml:space="preserve">Porcentaje de aceptación de libros o capítulos de libros escritos por Docentes como resultado de procesos de investigación = (libros o capítulos de libros escritos por Docentes como resultado de procesos de investigación aprobados para publicación/Total de solicitudes de publicación de libros  o capítulos de libro de investigación realizadas)∗100 </t>
  </si>
  <si>
    <t xml:space="preserve">Porcentaje de revistas institucionales con algún nivel de indexación en índices reconocidos = (Revistas indexadas en cada uno de los referentes de indexación/Total de revistas institucionales)∗100 </t>
  </si>
  <si>
    <t xml:space="preserve">Porcentaje de publicaciones en revistas indexadas  por Minciencias= (publicaciones en revistas indexadas por minciencias Resultado de proyectos de investigación registrados/Proyectos de investigación finalizados)∗100 </t>
  </si>
  <si>
    <t>Vicerrectoría Académica
Sección de Biblioteca
Sección de Publicaciones</t>
  </si>
  <si>
    <t>Prototipos y demás productos anuales transferibles resultados de proyectos de investigación registrados = ∑ Prototipos y demás productos anuales transferibles resultados de proyectos de investigación registrados</t>
  </si>
  <si>
    <t>Actividades de investigación-creación desarrollados conjuntamente con el sector productivo o grupos sociales = ∑ Número de actividades de investigación-creación desarrollados con el sector productivo o grupos sociales</t>
  </si>
  <si>
    <t>Avance en la implementación del Plan de Seguridad y Salud en el Trabajo de la Universidad Distrital = ∑ Sumatoria de promedios por cada etapa ponderada.</t>
  </si>
  <si>
    <t>Para le medición se cumplen los (62) estándares mínimos de la Resolución 312 de 2019 de Ministerio de Trabajo  y se cuenta con una herramienta de medición que contiene las etapas de PHVA diferenciadas por cada estándar y su ponderación correspondiente.</t>
  </si>
  <si>
    <t>Modificar e implementar protocolos para la prevención y atención de casos de  exclusión, violencia basada en género, violencia sexual y vulneraciones de derechos humanos en el contexto universitario.</t>
  </si>
  <si>
    <t>Caracterización baja actual respecto a lo que se necesita, con el SIBUD se busca  mejorar y tener datos de las poblaciones identificadas completas.   Por lo tanto en esta meta se pretende ir avanzando anualmente con grupos poblacionales hasta llegar al 100% de caracterización en el cuatrienio de acuerdo con el avance  del   desarrollo del sistema  de información para ello.</t>
  </si>
  <si>
    <t>Nivel de avance en la ejecución de los proyectos de mejora y mantenimiento de infraestructura = (Proyectos de mejora y mantenimiento de infraestructura ejecutados /Proyectos de mejora y mantenimiento programados)*100</t>
  </si>
  <si>
    <t>Se da mayor alcance para los proyectos  de mejora y los planes de mantenimiento para la UD.
 tiene un formato para hacer diagnóstico de mantenimiento por sede para terminar diagnóstico (proceso de levantamiento) para realizar un plan consolidado preventivo. Respecto al plan correctivo, se hace de dos forma con personal directo o con contratistas CPS de  mantenimiento en las sedes asignados, y hay otros mantenimiento para equipos por contratación directo para equipos, ups, bombas, plantas eléctricas se ha ejecutado de acuerdo con lo que se ha presentado. Se realizó un reporte de plan sobre mantenimientos correctivos. Se debe fortalecer para dejar un plan consolidado de la  Universidad.</t>
  </si>
  <si>
    <t>Como unidad ejecutora  no es responsable de promover proyectos accesibilidad igualmente se cuenta con un estudio técnico y estudios previos para un proyecto de accesibilidad para algunas sedes y cuenta con ficha técnica del 2018 que se va a actualizar y a presentar, igualmente de acuerdo con la misionalidad de la División identifican necesidades de accesibilidad en la sedes de  la UD, que se presentan para su estudio y viabilidad anualmente.</t>
  </si>
  <si>
    <t>Le meta establecida implica proveer 120 plazas docentes. Así, es importante resaltar que la ampliación de una plaza docente en promedio, categoría asociado con 491 puntos promedio. 
Sobre las plazas docente cubiertas es importante aclarar que una vez se vinculen a la planta docente deben considerarse como gastos recurrentes para la Institución.  
Se calcula el costo de 120 plazas, a una tasa de 60 plazas provistas por año. La estrategia se viabilizaría si se reduce en un 10% por cada año los recursos aforados para la contratación de docentes de vinculación especial, toda vez que una vez se vinculen a la planta docente deben considerarse como gastos recurrentes para la Institución. El costo está definido para un docente que ingresa en categoría asociado con 491 puntos para el primer año de vinculación.</t>
  </si>
  <si>
    <r>
      <t>Para el programa de Doctorado en Ambiente e Ingeniería Sustentable que inicia su funcionamiento en la vigencia 2022, se considera el ejercicio de evaluación financiera, realizado por los docentes proponentes y la Oficina Asesora de Planeación y Control, para el mismo (</t>
    </r>
    <r>
      <rPr>
        <i/>
        <sz val="10"/>
        <color theme="1"/>
        <rFont val="Calibri"/>
        <family val="2"/>
        <scheme val="minor"/>
      </rPr>
      <t xml:space="preserve">Concepto de viabilidad financiera Doctorado en Ambiente e Ingeniería Sustentable 27 de diciembre de 2021).
</t>
    </r>
    <r>
      <rPr>
        <sz val="10"/>
        <color theme="1"/>
        <rFont val="Calibri"/>
        <family val="2"/>
        <scheme val="minor"/>
      </rPr>
      <t>Por otro lado, para el programa que inicia durante el 2025, se toma como referencia el ejercicio anterior en lo que respecta al primer año de funcionamiento.</t>
    </r>
  </si>
  <si>
    <t>El cumplimiento de la meta se apalancará a través del proyecto de inversión 7900 - Implementación y establecimiento de la gobernanza entre los diferentes servicios de tecnologías de la información, específicamente desde la meta 4. Automatizar el 70% de los requerimientos definidos en el PETIC para cuatro sistemas de información. 
Es de anotar que, en la vigencia 2024 se llevará a cabo el proceso de armonización presupuestal con el nuevo plan de desarrollo distrital, lo que conlleva a que los proyectos se revisen y ajusten, y se derive un nuevo Plan Plurianual de Inversiones.</t>
  </si>
  <si>
    <t>La acción se esta realizando desde el Equipo de trabajo definido para el cumplimiento de la Resolución 010 de 2022 del CSU - Direccionamiento Estratégico, liderado por la representación de exrectores, el Rector, los Vicerrectores y con la Secretaría Técnica de a Secretaría General.</t>
  </si>
  <si>
    <t>La acción se lidera desde el Consejo Superior Universitario</t>
  </si>
  <si>
    <t>Para  la evaluación de la actividad se tiene en cuenta el concepto de evaluación financiera, elaborado por el equipo de la Rectoría, la Vicerrectoría Administrativa y Financiera y la Oficina Asesora de Planeación y Control de acuerdo con la solicitud de la Comisión Accidental de reforma. En el cual implica nuevo recursos en un orden de $7.981.000.000</t>
  </si>
  <si>
    <t>La reestructuración de la Oficina Asesora Jurídica no implica uso de recursos financieros, ya que la acción esta enfocada a nivel orgánico.</t>
  </si>
  <si>
    <t xml:space="preserve">El equipo del SIGUD, está realizando las gestiones para obtener el valor del costo del sistema integrado, a partir de las diferentes cotizaciones.
Así mismo, En el marco del proyecto de inversión 7900 - Implementación y establecimiento de la gobernanza entre los diferentes servicios de tecnologías de la información, se apoyan las siguientes actividades:
• Meta 4. Automatizar el 70% de los requerimientos definidos en el PETIC para cuatro sistemas de información. </t>
  </si>
  <si>
    <t>Se realiza el costeo con base en el presupuesto que tiene el CIDC para CPS y el sueldo del Director, como los recursos que se destinan al proyecto de Inversión 7875 - Fortalecimiento y promoción de la investigación y desarrollo científico de la Universidad Distrital.
Es de anotar que, en la vigencia 2024 se llevará a cabo el proceso de armonización presupuestal con el nuevo plan de desarrollo distrital, lo que conlleva a que los proyectos se revisen y ajusten, y se derive un nuevo Plan Plurianual de Inversiones.</t>
  </si>
  <si>
    <t>Se realiza el costeo con base en el presupuesto de funcionamiento que tiene  la Sección de Publicaciones, la Sección de Biblioteca y el CIDC con el sueldo de los jefes de las mismas, así como, los recursos que se destinan al proyecto de Inversión 7875 - Fortalecimiento y promoción de la investigación y desarrollo científico de la Universidad Distrital.
Es de anotar que, en la vigencia 2024 se llevará a cabo el proceso de armonización presupuestal con el nuevo plan de desarrollo distrital, lo que conlleva a que los proyectos se revisen y ajusten, y se derive un nuevo Plan Plurianual de Inversiones.</t>
  </si>
  <si>
    <t>Se realiza el costeo con base en el presupuesto de funcionamiento que tiene el CIDC para CPS y el sueldo del Director, así como, los recursos que se destinan al proyecto de Inversión 7875 - Fortalecimiento y promoción de la investigación y desarrollo científico de la Universidad Distrital.
Es de anotar que, en la vigencia 2024 se llevará a cabo el proceso de armonización presupuestal con el nuevo plan de desarrollo distrital, lo que conlleva a que los proyectos se revisen y ajusten, y se derive un nuevo Plan Plurianual de Inversiones.</t>
  </si>
  <si>
    <t>Se realiza el costeo con base en el presupuesto de funcionamiento que tiene el CIDC para CPS, el sueldo del Director del Centro, así como, los recursos que se destinan al proyecto de Inversión 7875 - Fortalecimiento y promoción de la investigación y desarrollo científico de la Universidad Distrital. 
Es de anotar que, en la vigencia 2024 se llevará a cabo el proceso de armonización presupuestal con el nuevo plan de desarrollo distrital, lo que conlleva a que los proyectos se revisen y ajusten, y se derive un nuevo Plan Plurianual de Inversiones.</t>
  </si>
  <si>
    <t>Se realiza el costeo con base en el presupuesto que tiene el CIDC y el CERI para CPS con el sueldo de los jefes de las mismas, así como los recursos que se destinan al proyecto de Inversión 7875 - Fortalecimiento y promoción de la investigación y desarrollo científico de la Universidad Distrital.
Es de anotar que, en la vigencia 2024 se llevará a cabo el proceso de armonización presupuestal con el nuevo plan de desarrollo distrital, lo que conlleva a que los proyectos se revisen y ajusten, y se derive un nuevo Plan Plurianual de Inversiones.</t>
  </si>
  <si>
    <t>Se realiza el costeo con base en el presupuesto que tiene el CIDC para CPS y el sueldo del Director, así como los recursos que se destinan al proyecto de Inversión 7875 - Fortalecimiento y promoción de la investigación y desarrollo científico de la Universidad Distrital.
Es de anotar que, en la vigencia 2024 se llevará a cabo el proceso de armonización presupuestal con el nuevo plan de desarrollo distrital, lo que conlleva a que los proyectos se revisen y ajusten, y se derive un nuevo Plan Plurianual de Inversiones.</t>
  </si>
  <si>
    <t>Para el costeo se tiene como referencia el presupuesto de las instancias de Bienestar Institucional, la División de Recursos Humanos y el Subsistema de Gestión de la Seguridad y Salud en el Trabajo SG-SST.</t>
  </si>
  <si>
    <t>El cumplimiento de la meta se apalancará a través del proyecto de inversión 7866 - Fortalecimiento a la promoción para la excelencia académica, específicamente la Meta 4. Desarrollar un sistema de información que permita hacer acompañamiento de estudiantes, generar alertas tempranas y reportar informes de gestión y seguimiento al desarrollo integral del estudiante. 
Es de anotar que, en la vigencia 2024 se llevará a cabo el proceso de armonización presupuestal con el nuevo plan de desarrollo distrital, lo que conlleva a que los proyectos se revisen y ajusten, y se derive un nuevo Plan Plurianual de Inversiones.</t>
  </si>
  <si>
    <t>Para el costeo se considera que el proceso de formulación esta a cargo del Comité para la Equidad de Género y Diversidades Sexuales, el cual esta conformado por el Centro de Bienestar Institucional, la Oficina Asesora de Asuntos Disciplinarios y el Instituto para la Pedagogía, la Paz y el Conflicto Urbano - IPAZUD; además se incluye el profesional que desde Rectoría lidera la temática.</t>
  </si>
  <si>
    <t>Para el desarrollo de la acción, se considera el presupuesto que se destina por funcionamiento e inversión para la contratación del personal del Comité de PlanEsTIC.
El cumplimiento de la meta se apalancará a través del proyecto de inversión 7878 - Fortalecimiento y promoción de la investigación y desarrollo científico de la Universidad Distrital, específicamente desde la meta 1. Desarrollar 40 contenidos promoviendo el uso de las herramientas tecnológicas y entornos virtuales mediante la consolidación de espacios de formación constante para docentes, estudiantes y personal que apoye en los Procesos Académicos – Administrativos
Es de anotar que, en la vigencia 2024 se llevará a cabo el proceso de armonización presupuestal con el nuevo plan de desarrollo distrital, lo que conlleva a que los proyectos se revisen y ajusten, y se derive un nuevo Plan Plurianual de Inversiones.</t>
  </si>
  <si>
    <t>Para el desarrollo de la acción, se considera el presupuesto que se destina por funcionamiento para la contratación del personal del Comité de PlanEsTIC y la Red RITA, así como, los recursos por inversión del proyecto de inversión 7878 - Fortalecimiento y promoción de la investigación y desarrollo científico de la Universidad Distrital, específicamente desde la meta 1. Desarrollar 40 contenidos promoviendo el uso de las herramientas tecnológicas y entornos virtuales mediante la consolidación de espacios de formación constante para docentes, estudiantes y personal que apoye en los Procesos Académicos – Administrativos
Es de anotar que, en la vigencia 2024 se llevará a cabo el proceso de armonización presupuestal con el nuevo plan de desarrollo distrital, lo que conlleva a que los proyectos se revisen y ajusten, y se derive un nuevo Plan Plurianual de Inversiones.</t>
  </si>
  <si>
    <t>Para costear la Oficina de Ordenamiento y Gestión de Espacios Educativos, se toma como referencia el salario de un jefe de División, y el presupuesto de funcionamiento con el que se hace la contratación del Equipo de Desarrollo Físico que hoy hace parte de la Oficina Asesora de Planeación y Control, así como la asesora de Rectoría encargada de las temáticas de infraestructura física.
Se asume que el Comité Asesor de Ordenamiento y Gestión de Espacios Educativos, estará conformado por Instancias ya establecidas, razón por la cual no se costea.</t>
  </si>
  <si>
    <t xml:space="preserve">La Universidad formalizó la adquisición del inmueble ubicado en la calle 13 con carreras 33 y 34, aledaño a la sede Aduanilla de Paiba, como nueva sede para la Facultad de Artes ASAB por un valor de $12.100.000.000 en 2022 financiados gracias a los recursos de excedentes financieros del Impuesto para la Equidad CREE.
Así mismo, la Institución se encuentra realizando acercamientos con diferentes entidades de carácter Distrital y Nacional con el fin de contar con predios adicionales que se incorporarían por comodato, donación u otra figura que se determine en los procesos de negociación .  </t>
  </si>
  <si>
    <t>Para el costeo de los estudios de diseño que se requieren en la vigencia 2023 se realiza con base en el predio de la nueva facultad de Artes - ASAB, con el que se espera aprovechar el potencial del predio que ronda los 23.000 metros cuadrados; se toma como parámetro el costo de m² diseñado del proyecto de la Facultad de Ingeniería ($289.321.) con un aumento por IPC de 8,5% para la vigencia 2023, de 5,6% en el 2024 y de 3% para el 2025. 
Ahora bien, la proyección de los recursos que se requieren para la vigencia 2025, se toma como referencia un predio de 25.000 m² y se toma como parámetro el mismo costo de ($289.321.) con un aumento por IPC de 8,5% para la vigencia 2023, de 5,6% en el 2024 y de 3% para el 2025.</t>
  </si>
  <si>
    <t xml:space="preserve">El desarrollo de la fase II de la Sede Aduanilla de Paiba contempla la ampliación de alrededor de 77.000 metros cuadrados, en el espacio disponible de la sede. La obra tendría un valor cercano a los 550.000.000.000 al año 2025 donde iniciaría su construcción. 
Por otro lado el desarrollo de la sede Macarena B contempla la consolidación de 7.000 metros cuadrados. La obra tendría un valor cercano a los 50.000.000.000 al año 2025.
Es importante precisar que para el costeo de los proyectos  se toma como parámetro $6.000.000 el costo de m² al 2022, con un aumento por IPC de 8,5% para la vigencia 2023, de 5,6% en el 2024 y de 3% para el 2025. </t>
  </si>
  <si>
    <t>Para el costeo se toma como referencia los recursos que se destinan al mantenimiento de las sedes de la Universidad a través del presupuesto de funcionamiento, específicamente a la División de Recursos Físicos.
Así mismo, el cumplimiento de la meta se apalanca a través del proyecto de inversión 7896 - Fortalecimiento y Ampliación de la infraestructura física de la Universidad Distrital Francisco José de Caldas, específicamente la Meta 1. Realizar 10 Intervenciones De Reforzamiento Estructural, Mantenimiento, Remodelación y/o Dotación.
Es de anotar que, para la proyección de inversión se toma como supuesto un 29% de la meta y que el recaudo puede variar de acuerdo al recaudo que se tenga y a la asignación que se pueda dar para la meta. 
Así mismo, se señala que en la vigencia 2024 se llevará a cabo el proceso de armonización presupuestal con el nuevo plan de desarrollo distrital, lo que conlleva a que los proyectos se revisen y ajusten, y se derive un nuevo Plan Plurianual de Inversiones.</t>
  </si>
  <si>
    <t>El cumplimiento de la meta se apalanca a través del proyecto de inversión 7896 - Fortalecimiento y Ampliación de la infraestructura física de la Universidad Distrital Francisco José de Caldas, específicamente la Meta 1. Realizar 10 Intervenciones De Reforzamiento Estructural, Mantenimiento, Remodelación y/o Dotación.
Es de anotar que, para la proyección de inversión se toma como supuesto un 29% de la meta y que el recaudo puede variar por el recaudo por estampilla y por la asignación que pueda darse sobre la meta. 
Así mismo, se señala que en la vigencia 2024 se llevará a cabo el proceso de armonización presupuestal con el nuevo plan de desarrollo distrital, lo que conlleva a que los proyectos se revisen y ajusten, y se derive un nuevo Plan Plurianual de Inversiones.</t>
  </si>
  <si>
    <t>El proyecto del edificio de laboratorios de la Facultad de Ingeniería se financia a través de recursos del Sistema General de Regalías, en lo que compete a la construcción, lo cual corresponde $100.487.000.000. La Universidad aportará $11.846.623.297.
Por otro lado, para el cumplimiento de la acción se  costea el Equipo de desarrollo Físico de la Oficina Asesora de Planeación y Control, así como la asesora de la Rectoría encargada de las temáticas de infraestructura física.</t>
  </si>
  <si>
    <t>Los ejercicios de evaluación del posicionamiento a nivel nacional dependen de ejercicios  externos que dependen de la metodología y criterios de medición usados, razón por la cual la acción no se costea.</t>
  </si>
  <si>
    <t>Los ejercicios de evaluación del posicionamiento a nivel internacional dependen de ejercicios  externos que dependen de la metodología y criterios de medición usados, razón por la cual la acción no se costea.</t>
  </si>
  <si>
    <r>
      <t xml:space="preserve">Creación de nuevas facultades que permitan cerrar el ciclo formativo. 
</t>
    </r>
    <r>
      <rPr>
        <sz val="10"/>
        <color rgb="FFFF0000"/>
        <rFont val="Calibri"/>
        <family val="2"/>
        <scheme val="minor"/>
      </rPr>
      <t>Creación de nuevas facultades y asociación con colegios distritales, que permitan cerrar el ciclo formativo.</t>
    </r>
  </si>
  <si>
    <t>Crear el nivel de Educación Media Superior, a través de la asociación con colegios distritales para articular el curriculo de la educación media al curriculo universitario, compartir infraestructura y establecer mecanismos de continuidad en la Universidad de los bachilleres de estos colegios.</t>
  </si>
  <si>
    <t>Facultades nuevas estructuradas y creadas  = ∑ Facultades nuevas estructuradas y creadas</t>
  </si>
  <si>
    <t>Colegios asociados = ∑ Colegios con convenios de cooperación</t>
  </si>
  <si>
    <t xml:space="preserve">Creación de nuevos institutos y centros que fortalezcan los procesos de investigación, creación, e innovación y que articule sus resultados con las necesidades de la ciudad-región. </t>
  </si>
  <si>
    <t>Institutos y Centros creados = ∑ Institutos y centros creados</t>
  </si>
  <si>
    <t>Programas dirigidos a entidades y comunidad en general desarrollados = ∑ Programas de educación no formal y continua  según la pertinencia académica</t>
  </si>
  <si>
    <t xml:space="preserve">Programas de educación para el trabajo y el desarrollo humano   = ∑ Programas de educación para el trabajo y el desarrollo humano  en una lengua extranjera </t>
  </si>
  <si>
    <t>Promoción de la educación inclusiva y de calidad con mediación tecnológica.</t>
  </si>
  <si>
    <t>Promoción de la oferta académica de programas de pregrado y posgrado con modalidad virtual, con criterios que responsan a la sostenibilidad, cobertura nacional e internacional.</t>
  </si>
  <si>
    <t xml:space="preserve">Crear y poner en marcha las instancias institucionales asociadas al ordenamiento y gestión de espacios educativos, establecidas en el PMEE. </t>
  </si>
  <si>
    <t>Indicador(es) asociado(s)</t>
  </si>
  <si>
    <t>Generar las políticas y lineamientos institucionales correspondientes a  propósitos de formación para el aprendizaje.</t>
  </si>
  <si>
    <t>Número de programas acreditados  = ∑ con resolución de acreditación de alta calidad vigente (referente CNA)</t>
  </si>
  <si>
    <t>Actualizar los lineamientos formativos soportado en las mejores prácticas de diseño curricular con inclusión de mediación tecnológica y educación virtual.</t>
  </si>
  <si>
    <t>Programa de Gobierno
Observaciones CNA (4,7)</t>
  </si>
  <si>
    <t>Equipo gestor cada Facultad
Comité Institucional de Currículo y Calidad
IEIE</t>
  </si>
  <si>
    <t>Facultad de Ciencias y Educación
Comité Institucional de Integración y Fortalecimiento de la Educación Media-Superior CINIFEMS</t>
  </si>
  <si>
    <t>Fortalecimiento vertical de la oferta académica, creación de nuevos doctorados y fortalecimiento de los existentes para fomentar la generación de nuevo conocimiento.</t>
  </si>
  <si>
    <t>Programa de Gobierno
Observación CNA (7)</t>
  </si>
  <si>
    <t>Estructuración y fortalecimiento del sistema Integrado de posgrados que respete los saberes y conocimientos que permitan una gestión basada en resultados de sostenibilidad de la oferta posgradual.</t>
  </si>
  <si>
    <t>Consolidar el Observatorio de Empleabilidad y los convenios específicos de prácticas empresariales de estudiantes de últimos semestres.</t>
  </si>
  <si>
    <t>Gestionar la presentación de  los conceptos de viabilidad académica, jurídica, administrativa y financiera solicitados por el CSU para  el proyecto de  la Reforma Orgánica de la Universidad.</t>
  </si>
  <si>
    <t xml:space="preserve">Crear la Unidad de Contratación de la Universidad con el fin de gestionar la estructuración de los procesos contractuales de la Universidad. </t>
  </si>
  <si>
    <t>Avance en la  implementación de la Oficina de TIC  = (acciones ejecutadas/acciones implementar)*100</t>
  </si>
  <si>
    <t>Formalización de las formas, medios y modos para la comunicación institucional, de tal manera que la información fluya eficientemente.</t>
  </si>
  <si>
    <t>Avance en la hoja de ruta para la construcción de política integral de comunicaciones =   (acciones ejecutadas en cada etapa /acciones establecidas en cada etapa)*100</t>
  </si>
  <si>
    <t>Programa de Gobierno
Observaciones CNA (5, 6)</t>
  </si>
  <si>
    <t>CIDC
IEIE</t>
  </si>
  <si>
    <t>Vicerrectoría Académica
CERI
IDEXUD
Unidades de Investigación de Facultad</t>
  </si>
  <si>
    <t>Programa de Gobierno
Observaciones CNA (5)</t>
  </si>
  <si>
    <t>Programa de Gobierno
Observaciones CNA (5, 13)</t>
  </si>
  <si>
    <t xml:space="preserve">Porcentaje de publicaciones en revistas indexadas  por Minciencias= (publicaciones en revistas indexadas por Minciencias Resultado de proyectos de investigación registrados/Proyectos de investigación finalizados)∗100 </t>
  </si>
  <si>
    <t>CERI
CIDC
IDEXUD</t>
  </si>
  <si>
    <t>Unidades de Extensión de Facultad</t>
  </si>
  <si>
    <t>Programa de Gobierno
Ejercicio de Prospectiva</t>
  </si>
  <si>
    <t>Programa de Gobierno
Ejercicio de Prospectiva
Observaciones CNA(1)</t>
  </si>
  <si>
    <t>7 Planes:
-Plan Institucional de Bienestar e Incentivos anual.
-Planes anuales del Dec. 612: 6 planes, Plan estratégico de TH, Plan Institucional de Capacitación, Plan de Bienestar e Incentivos (lidera la Div.RH). Plan Anual de Vacantes y Plan de Previsión de TH, Plan de Mejoramiento de Clima.</t>
  </si>
  <si>
    <t>Programa de Gobierno
Observaciones CNA(1)</t>
  </si>
  <si>
    <t xml:space="preserve">Programa de Gobierno
Observación CNA (9,1 y 2)
</t>
  </si>
  <si>
    <t>Promoción de una cultura institucional que reconozca y garantice los derechos humanos con acciones afirmativas para lograr condiciones de igualdad, equidad, no discriminación y erradicación de las violencias en contra de las mujeres, las diversidades sexuales y de género.</t>
  </si>
  <si>
    <t>Programa de gobierno</t>
  </si>
  <si>
    <t>Prevención, atención y seguimiento a la posibles vulneraciones de derechos humanos, discriminación y violencias basadas en género, violencia sexual a la comunidad universitaria.</t>
  </si>
  <si>
    <t>Desarrollo de programas STEM+I además de una escuela de formación en ciencias de datos para articulación con la educación media en el Distrito.</t>
  </si>
  <si>
    <t>Programa de Gobierno
Observaciones CNA (14)</t>
  </si>
  <si>
    <t xml:space="preserve">Programa de Gobierno
</t>
  </si>
  <si>
    <t>Programa de Gobierno
Observaciones CNA (3, 8)</t>
  </si>
  <si>
    <t>Crear y gestionar la aprobación de la política de Interinstitucionalización e internacionalización que incluya los elementos relacionados con: 1. Internacionalización del Currículo, 2. Dobles titulaciones, 3. Plurilingüismo, 4. Cooperación, 5. Internacionalización de la investigación, creación e innovación, 6. Movilidad académica y 7, Gestión integral, como un macroproceso de direccionamiento estratégico, para la formación integral de profesionales, investigadores y creadores.</t>
  </si>
  <si>
    <t>Programa de Gobierno
Observaciones CNA (8)</t>
  </si>
  <si>
    <t xml:space="preserve">Implementación de  política de plurilingüismo en espacios académicos impartidos en otros idiomas que privilegien lenguas nativas mediante programas de formación para docentes, estudiantes y administrativos, ejecutados por el ILUD, el énfasis en enseñanza del inglés del DIE, la maestría en lingüística aplicada a la enseñanza del inglés y la licenciatura en educación básica en inglés. </t>
  </si>
  <si>
    <t>Eje tranformador</t>
  </si>
  <si>
    <t>Lineamientos financiados con presupuesto disponible programado</t>
  </si>
  <si>
    <t>Lineamientos que no cuentan con presupuesto y se debe gestionar</t>
  </si>
  <si>
    <t>Lineamientos que se deben financiar con el presupuesto recurrente</t>
  </si>
  <si>
    <t>2.4 Reestructuración del proceso de Gestión Contractual de la Universidad con el fin de garantizar eficacia, eficiencia, celeridad y seguridad jurídica en el desarrollo de los procesos contractuales de la Institución.
2.6 Fortalecimiento del Sistema Integrado de  Gestión de la Universidad, SIGUD y su marco de referencia el Modelo Integrado de Planeación y Gestión, MIPG, de tal manera que se consolide como una herramienta integrada para la gestión institucional.</t>
  </si>
  <si>
    <t>2.1 Declaración de la identidad de la Universidad Distrital Francisco José de Caldas y a partir de ella,  fortalecer la gestión del conocimiento y su apropiación social en la Universidad, buscando practicas de excelencia que articulen lo administrativo, académico y social desde el reconocimiento de los derechos humanos en condiciones de igualdad y equidad.
2.2 Compromiso decisivo de la administración con la implementación de la Reforma del Estatuto General de la Universidad Distrital, que sea aprobada por el Consejo Superior Universitario a partir de la propuesta entregada por la Asamblea Universitaria y los demás esfuerzos institucionales que se han gestado para tal fin.
2.3 Desarrollo e implementación de los procesos y procedimientos que permitan articular la reforma y su adaptación de las actuales Facultades y Proyectos Curriculares, a Escuelas, con sus respectivos Claustros, vicerrectorías y demás dependencias que sean reestructuradas en la reforma.
2.4 Reestructuración del proceso de Gestión Contractual de la Universidad con el fin de garantizar eficacia, eficiencia, celeridad y seguridad jurídica en el desarrollo de los procesos contractuales de la Institución.
2.5 Conformación e implementación de una Unidad con carácter directivo que coordine y lidere los procesos  relacionados con TIC en la U. Distrital.
2.6 Fortalecimiento del Sistema Integrado de  Gestión de la Universidad, SIGUD y su marco de referencia el Modelo Integrado de Planeación y Gestión, MIPG, de tal manera que se consolide como una herramienta integrada para la gestión institucional.
2.7 Formalización de las formas, medios y modos para la comunicación institucional, de tal manera que la información fluya eficientemente teniendo en cuenta el enfoque de derechos diferencial y de género.</t>
  </si>
  <si>
    <t>4.1 Estructuración del sistema de talento humano institucional que responda a las necesidades de la Universidad y a la estructura orgánica de la institución.
4.2 Promoción de la formalización laboral a través de la proyección de la ampliación de la planta administrativa de la Universidad de acuerdo con las necesidades evidenciadas institucionalmente.
4.3 Desarrollo del bienestar institucional extensivo y participativo, acceso a los programas conforme características económicas, sociales y académicas, con proyectos focalizados, así como con las condiciones establecidas por la ley.
4.4 Mejoramiento de recursos físicos y materiales para el cumplimiento de las funciones de bienestar, así como de los procedimientos de divulgación de servicios.
4.5 Integrar la gestión de información que garantice la adecuada caracterización con transparencia de la información y las acciones realizadas para los diversos apoyos brindados a la comunidad universitaria.
4.6 Formulación de estrategias de estudios e investigación del bienestar para identificar requerimientos y necesidades de la comunidad académica.
4.7 Promover una cultura institucional que reconozca y garantice los derechos humanos con acciones afirmativas para lograr condiciones de igualdad, equidad, no discriminación y erradicación de las violencias en contra de las mujeres, las diversidades sexuales y de género.
4.8 Prevenir, atender y realizar seguimiento a la posibles vulneraciones de derechos humanos, discriminación y violencias basadas en género, violencia sexual a la comunidad universitaria, especialmente en contra de las mujeres y las personas LGBTIQ+.</t>
  </si>
  <si>
    <t>5.1 Fortalecimiento de competencias en TIC a la comunidad educativa.
5.2 Reconocimiento a docentes en la producción de contenidos y recursos digitales conforme estándares y modelos de calidad.
5.3 Promover la educación inclusiva y de calidad con mediación tecnológica.
5.4 Promoción de la oferta académica de programas de pregrado y posgrado con modalidad virtual, que respondan Objetivos de Desarrollo Sostenible (Agenda 2030) con cobertura nacional e internacional.
5.5 Innovación a través de TIC en los procesos de formación con estrategias de m-learning (mobil learning), blockchain, Gamificación, micro-credenciales, desarrollo de microaprendizaje, desarrollo  de contenidos con plataformas tipo MOOC y procesos de microcertificación.
5.6 Desarrollar programas STEM+I además de una escuela de formación en ciencias de datos para articulación con la educación media en el Distrito.
5.7 Formular una estrategia de transformación digital en la Universidad Distrital que este fundamentada en las tecnologías disruptivas para brindar servicios de alto valor además de emprendimientos digitales.</t>
  </si>
  <si>
    <t>6.3 Consolidación de las sedes existentes de la Universidad que permitan ampliar cobertura, ampliar la oferta de pregrados, postgrados, investigación y extensión en las diferentes localidades de la ciudad.</t>
  </si>
  <si>
    <t>6.1 Ejecución del  Plan Maestro de Espacios Educativos para la Universidad Distrital Francisco José de Caldas que permita caracterizar necesidades de mantenimiento, adquisición, construcción y adecuación de los espacios existentes y las nuevas necesidades de formación.
6.3 Consolidación de las sedes existentes de la Universidad que permitan ampliar cobertura, ampliar la oferta de pregrados, postgrados, investigación y extensión en las diferentes localidades de la ciudad.
6.4 Mantenimiento de la infraestructura física existente de la Universidad para garantizar el debido desarrollo de las funciones misionales y de apoyo de la institución.</t>
  </si>
  <si>
    <t>7.1 Facilitar la inmersión y participación activa de la institución en la sociedad del conocimiento en el ámbito local, nacional e internacional.
7.2 Posicionamiento institucional de la Universidad Distrital Francisco José de Caldas en los ranking nacionales.
7.3 Posicionamiento institucional en rankings internacionales.
7.4 Implementar la política de plurilingüismo en espacios académicos impartidos en otros idiomas que privilegien lenguas nativas mediante programas de formación para docentes, estudiantes y administrativos, ejecutados por el ILUD, el énfasis en enseñanza del inglés del DIE, la maestría en lingüística aplicada a la enseñanza del inglés y la licenciatura en educación básica en inglés.</t>
  </si>
  <si>
    <t>6.1 Ejecución del  Plan Maestro de Espacios Educativos para la Universidad Distrital Francisco José de Caldas que permita caracterizar necesidades de mantenimiento, adquisición, construcción y adecuación de los espacios existentes y las nuevas necesidades de formación.
6.2 Ubicación estratégica de nuevas sedes de la Universidad que permitan ampliar cobertura, ampliar la oferta de pregrados, postgrados, investigación y extensión en las diferentes localidades de la ciudad.
6.3 Consolidación de las sedes existentes de la Universidad que permitan ampliar cobertura, ampliar la oferta de pregrados, postgrados, investigación y extensión en las diferentes localidades de la ciudad.
6.4 Mantenimiento de la infraestructura física existente de la Universidad para garantizar el debido desarrollo de las funciones misionales y de apoyo de la institución.
6.5 Apropiación y ejecución de los Recursos del Sistema General de Regalías para el desarrollo del Proyecto del Edificio de Ingeniería.</t>
  </si>
  <si>
    <t>3.1 Consolidación de la Agenda de Investigaciones de acuerdo con lo establecido en el Plan Estratégico de Desarrollo, que contemple mecanismos de diversificación, ampliación de programas y proyectos de investigación, sustentado en las fortalezas derivadas de las capacidades institucionales con una visión integradora de las diferentes unidades e instancias que promueven procesos de investigación-creación, en articulación con los diversos sectores sociales y productivos.
3.2 Estructuración del Fondo de Investigaciones que garantice la financiación de los programas y proyectos de investigación, así como apoyo a las iniciativas de las estructuras de investigación soportadas en grupos, semilleros e investigadores. 
3.3 Fortalecimiento de las instancias de vinculación y transferencia de conocimiento que permitan consolidar las capacidades existentes desde la divulgación de conocimiento por medio de las revistas científicas y demás procesos editoriales como escenarios que permiten disponer a la comunidad académica y sociedad en general el conocimiento generado desde procesos académicos, investigativos y creativos.
3.4 Fomento del relacionamiento con el sector productivo y la sociedad en general desde la búsqueda de estrategias orientadas a lograr la incorporación de los resultados obtenidos en proyectos de investigación-creación como elementos clave para fomentar el desarrollo económico y social de la ciudad, la región y el país.</t>
  </si>
  <si>
    <r>
      <t xml:space="preserve">2. Modernización Institucional </t>
    </r>
    <r>
      <rPr>
        <sz val="8"/>
        <color theme="1"/>
        <rFont val="Calibri"/>
        <family val="2"/>
        <scheme val="minor"/>
      </rPr>
      <t>(16)</t>
    </r>
  </si>
  <si>
    <r>
      <t xml:space="preserve">3. Investigación - creación e innovación y responsabilidad social y ambiental </t>
    </r>
    <r>
      <rPr>
        <sz val="8"/>
        <color theme="1"/>
        <rFont val="Calibri"/>
        <family val="2"/>
        <scheme val="minor"/>
      </rPr>
      <t>(6)</t>
    </r>
  </si>
  <si>
    <t xml:space="preserve">1. Estructurar y viabilizar la creación de nuevos programas de doctorado que articulen verticalmente la oferta académica de la Institución. </t>
  </si>
  <si>
    <t xml:space="preserve">6.2 Ubicación estratégica de nuevas sedes de la Universidad que permitan ampliar cobertura, ampliar la oferta de pregrados, postgrados, investigación y extensión en las diferentes localidades de la ciudad. </t>
  </si>
  <si>
    <t xml:space="preserve">3. Gestionar recursos para la construcción de nuevas sedes. </t>
  </si>
  <si>
    <t>3. Gestionar recursos para la consolidación de los proyectos Aduanilla de Paiba Fase II y Macarena B.</t>
  </si>
  <si>
    <t>Proyectos o acciones orientadoras</t>
  </si>
  <si>
    <t>Disponible</t>
  </si>
  <si>
    <t>Programar</t>
  </si>
  <si>
    <t>Gestionar</t>
  </si>
  <si>
    <t>No se suma ya considerado</t>
  </si>
  <si>
    <t>1.1 Revisión de políticas institucionales a la luz del Decreto 1330 de 2019 que permita responder a las demandas sociales, culturales y ambientales en consonancia con nuestro horizonte de desarrollo.
1.2 Fomento al reconocimiento de la calidad de los programas de la Institución a través de acreditaciones nacionales e internacionales.
1.3 Implementación de los planes de mejoramiento propuestos en la autoevaluación de programas e institucional, atendiendo las recomendaciones de los informes de las comisiones de pares y del Consejo Nacional de Acreditación a fin de fortalecer la cultura de la acreditación y el mejoramiento continuo de la institución.
1.4 Actualización integral del modelo formativo institucional soportado en las mejores prácticas de diseño curricular basadas en procesos de formación para el aprendizaje e innovaciones mediadas por tecnología.
1.5 Fortalecimiento de la planta de personal docente de carrera a partir de la revisión  y proyección de las condiciones de vinculación docente.
1.6 Creación de nuevas facultades que permitan cerrar el ciclo formativo.
1.8 Estructuración y fortalecimiento del sistema Integrado de postgrados que respete los saberes y conocimientos que permitan una gestión basada en resultados de sostenibilidad de la oferta posgradual.
1.10 Desarrollo de estrategias que permitan realizar reportes de información con criterios de calidad y oportunidad en los diferentes sistemas de información del Ministerio de Educación Nacional, MEN (SPADIES, SNIES, SACES, etc.).</t>
  </si>
  <si>
    <t>Proyectos financiados con presupuesto disponible programado</t>
  </si>
  <si>
    <t>Proyectos que deben programarse para financiarse con presupuesto recurrente</t>
  </si>
  <si>
    <t>Proyectos con presupuesto por gestionar</t>
  </si>
  <si>
    <t>Total de proyectos</t>
  </si>
  <si>
    <t>Criterio</t>
  </si>
  <si>
    <t>El cumplimiento de la meta se apalanca a través del proyecto de inversión 7898 - Actualización y modernización de la gestión documental, cuya proyección esta definida para requerir recursos totales por valor de $3.600.000.000.
Frente a este proyecto es pertinente señalar que para las vigencias 2023 y 2024, es necesario buscar o trasladar recursos propios de funcionamiento para poder aforar las metas toda vez que las fuentes de estampilla y prounal no permiten apalancar este tipo de iniciativas.</t>
  </si>
  <si>
    <t>Los recursos que se requieren para la construcción del proyecto de la nueva facultad de Artes - ASAB, con el que se espera aprovechar el potencial del predio que ronda los 23.000 metros cuadrados tendría un valor cercano a los $163.000.000.000 al año 2025; para determinar dicho valor se toma como parámetro $6.000.000 el costo de m² al 2022, con un aumento por IPC de 8,5% para la vigencia 2023, de 5,6% en el 2024 y de 3% para el 2025. 
Por otro lado, los recursos para la construcción de la Sede Bosa El Porvenir Fase II, con un potencial del predio de 25.000 metros cuadrados tendría un valor cercano a los $177.019.920.000 al año 2025; para determinar este valor, al igual que para el predio anterior, se toma como parámetro $6.000.000 el costo de m² al 2022, con un aumento por IPC de 8,5% para la vigencia 2023, de 5,6% en el 2024 y de 3% para el 2025.</t>
  </si>
  <si>
    <t>Se toma como referencia el costo asosciado a los docentes  de vinculación especial que soportan los espacios de segunda lengua a través del Instituto de Lenguas de la Universidad.</t>
  </si>
  <si>
    <t>criterio</t>
  </si>
  <si>
    <r>
      <rPr>
        <sz val="10"/>
        <rFont val="Calibri"/>
        <family val="2"/>
        <scheme val="minor"/>
      </rPr>
      <t xml:space="preserve">El cumplimiento de la meta se apalancará a través del proyecto de inversión 7900 - Implementación y establecimiento de la gobernanza entre los diferentes servicios de tecnologías de la información, específicamente desde la meta 4. Automatizar el 70% de los requerimientos definidos en el PETIC para cuatro sistemas de información. </t>
    </r>
    <r>
      <rPr>
        <sz val="10"/>
        <color rgb="FFFF0000"/>
        <rFont val="Calibri"/>
        <family val="2"/>
        <scheme val="minor"/>
      </rPr>
      <t xml:space="preserve">
</t>
    </r>
    <r>
      <rPr>
        <sz val="10"/>
        <rFont val="Calibri"/>
        <family val="2"/>
        <scheme val="minor"/>
      </rPr>
      <t xml:space="preserve">
Es de anotar que, en la vigencia 2024 se llevará a cabo el proceso de armonización presupuestal con el nuevo plan de desarrollo distrital, lo que conlleva a que los proyectos se revisen y ajusten, y se derive un nuevo Plan Plurianual de Inversiones.</t>
    </r>
  </si>
  <si>
    <t>Para el costeo se tiene como referencia el presupuesto inicial vigencia 2022 del Centro de Bienestar Institucional en lo que corresponde a CPS.</t>
  </si>
  <si>
    <t>El costeo de la implementación de la política, dependerá de lo que se incluya y considere dentro de la misma, por lo que requiere un ejercicio de evaluación presupuestal y financiera propio.</t>
  </si>
  <si>
    <t>No se suma ya considerado en la fila 20</t>
  </si>
  <si>
    <t>No aplica el costeo, teniendo en cuenta que los cursos para funcionarios se dan a tráves de extensión y no tendría costo con el presupuesto de la Universidad</t>
  </si>
  <si>
    <t xml:space="preserve">Para el costeo se considera el equipo de apoyo y servicios profesionales de las Facultades y los proyectos curriculares (Coordinadores y asistentes) que lideran el proceso de acreditación de cada programa, así como los equipos de las Decanaturas de Facultad, la Vicerrectoría Académica y el Comité Institucional de Currículo y Calidad que apoyan dichos procesos. 
Es necesario establecer si para la postulación/procesos de acreditación internacional se incurre en gastos/costos adicionales. </t>
  </si>
  <si>
    <t>1. Fortalecimiento curricular y aseguramiento de la calidad</t>
  </si>
  <si>
    <t>Programas en proceso de acreditación o reacreditación de alta calidad =  ∑ Programas en proceso de acreditación o reacreditación de alta calidad</t>
  </si>
  <si>
    <t xml:space="preserve">Fortalecimiento de la oferta académica de tal manera que permita articular el ciclo formativo. </t>
  </si>
  <si>
    <t xml:space="preserve">Viabilizar la creación de nuevas facultades que permitan cerrar el ciclo formativo, ampliar el campo de acción de la Universidad y fortalecer los procesos de formación, investigación, creación artística e innovación y extensión y proyección social. </t>
  </si>
  <si>
    <t>Diseñar e implementar estrategias que permitan la articulación efectiva entre la educación media y la Universidad Distrital.</t>
  </si>
  <si>
    <t>Para el costeo se tiene como referencia el equipo de trabajo que actualmente se encuentra constituido para este fin conformado por la Rectoría, la Vicerrectoría Administrativa y Financiera y la Oficina Asesora de Planeación y Control. Adicionalmente, se incluye al equipo de trabajo correspondiente a la División de Recursos Humanos. 
Se incluye el costo estimado del estudio de la actualización y ampliación de la planta administrativa de acuerdo con las directrices del Departamento Administrativo de la Función Pública. Este costo se da únicamente para la vigencia en la que se realicen los estudios.
En relación con la implementación de la planta administrativa ampliada, dependerá del resultado del estudio de actuialización y ampliación.</t>
  </si>
  <si>
    <t>Se toma como referencia los recursos asignados para la formulación del Plan Maestro de Espacios Educativos que hace parte del Proyecto de inversión 7896 - Fortalecimiento y Ampliación de la infraestructura física de la Universidad Distrital Francisco José de Caldas, específicamente la Meta 5. Formular 1 Plan de Espacios Educativos.</t>
  </si>
  <si>
    <t>No se suma ya considerado en la fila 112</t>
  </si>
  <si>
    <t>Apropiar los dominios y habilitadores de transformación digital en el marco de lo dispuesto  por MINTIC para el estado colombiano.</t>
  </si>
  <si>
    <r>
      <t>Para el programa de Doctorado en Ambiente e Ingeniería Sustentable que inicia su funcionamiento en la vigencia 2022, se considera el ejercicio de evaluación financiera, realizado por los docentes proponentes y la Oficina Asesora de Planeación y Control, para el mismo (</t>
    </r>
    <r>
      <rPr>
        <i/>
        <sz val="10"/>
        <rFont val="Calibri"/>
        <family val="2"/>
        <scheme val="minor"/>
      </rPr>
      <t xml:space="preserve">Concepto de viabilidad financiera Doctorado en Ambiente e Ingeniería Sustentable 27 de diciembre de 2021).
</t>
    </r>
    <r>
      <rPr>
        <sz val="10"/>
        <rFont val="Calibri"/>
        <family val="2"/>
        <scheme val="minor"/>
      </rPr>
      <t>Por otro lado, para el programa que inicia durante el 2025, se toma como referencia el ejercicio anterior en lo que respecta al primer año de funcionamiento.</t>
    </r>
  </si>
  <si>
    <t>Se asume que la formulación de la política de interinstitucionalización e internacionalización se lidera desde la Vicerrectoría Académica, el Comité Institucional de Currículo y Calidad (Resolución 322 de 2022 de Rectoría), el CERI y la descarga del Director del ILUD por lo que el presupuesto relacionado considera el equipo de apoyo y servicios profesionales (CPS y funcionarios de planta) y los jefes de dichas dependencias para la vigencia 2022.</t>
  </si>
  <si>
    <t>El proceso de estructuración se lidera por parte de los Docentes proponentes de cada proyecto que se vaya a gestionar. Así las cosas, cada programa propuesto tiene que tener el proceso de evaluación financiera y posterior viabilidad de la misma.</t>
  </si>
  <si>
    <t>El ejercicio de estructuración se lidera desde el Equipo Gestor de la Facultad de Ciencias de la Salud (Resolución 122 de 2022 de Rectoría), en la que participa la Rectoría, la Vicerrectoría Académica, la Oficina Asesora de Planeación y Control. 
La puesta en marcha dependerá del desarrollo de la hoja de ruta que definió el equipo Gestor de la Facultad, en la que se encuentra lo relacionado con el desarrollo del ejercicio presupuestal y financiero, que considera los gastos de funcionamiento y los gastos de inversión. 
Para la vigencia 2022 se cuentan con los recursos, sin embargo los requeridos para la puesta en marcha de la facultad se tendrán que gestionar. Para las vigencias 2023 -2025, el ejercicio de costeo incluye el costo del equipo de apoyo y servicios profesionales de la Facultad, determinados por un ejercicio previo realizado por la Oficina Asesora de Planeación y Control y la Vicerrectoría Administrativa y Financiera.
De otra parte, los recursos que se requieren para atender la infraestructura Física y Dotación de la misma, se tiene previsto que se atiendan a través del cupo de endeudamiento aprobado por el Concejo de Bogotá.
Para las dos facultades restantes, solo se considera el costo actual de una decanatura; teniendo en cuenta que la puesta en marcha de cada facultad dependera de la naturaleza de la misma.</t>
  </si>
  <si>
    <r>
      <t xml:space="preserve">1.6 Fortalecimiento de la oferta académica de tal manera que permita articular el ciclo formativo. </t>
    </r>
    <r>
      <rPr>
        <sz val="8"/>
        <color rgb="FFFF0000"/>
        <rFont val="Calibri"/>
        <family val="2"/>
        <scheme val="minor"/>
      </rPr>
      <t>.</t>
    </r>
  </si>
  <si>
    <t xml:space="preserve">1. Viabilizar la creación de nuevas facultades que permitan cerrar el ciclo formativo, ampliar el campo de acción de la Universidad y fortalecer los procesos de formación, investigación, creación artística e innovación y extensión y proyección social. </t>
  </si>
  <si>
    <t xml:space="preserve">6.3 Consolidación de las sedes existentes de la Universidad que permitan ampliar cobertura, ampliar la oferta de pregrados, postgrados, investigación y extensión en las diferentes localidades de la ciudad. </t>
  </si>
  <si>
    <t>1.7 Fortalecimiento vertical de la oferta académica, creación de nuevos doctorados y fortalecimiento de los existentes para fomentar la generación de nuevo conocimiento.</t>
  </si>
  <si>
    <t>Para el programa de Doctorado en Ambiente e Ingeniería Sustentable que inicia su funcionamiento en la vigencia 2022, se considera el ejercicio de evaluación financiera, realizado por los docentes proponentes y la Oficina Asesora de Planeación y Control, para el mismo (Concepto de viabilidad financiera Doctorado en Ambiente e Ingeniería Sustentable 27 de diciembre de 2021).
Por otro lado, para los otros dos, se toma como referencia el ejercicio anterior en lo que respecta al primer año de funcionamiento.</t>
  </si>
  <si>
    <t>1.7: 1</t>
  </si>
  <si>
    <t>1.6: 1
1.9: 1</t>
  </si>
  <si>
    <t>1.1: 1-2-3
1.2: 1-2
1.3: 1-2
1.4: 1-2
1.5: 1-2
1.6: 1
1.8: 1
1.10: 2</t>
  </si>
  <si>
    <t>1.10: 1</t>
  </si>
  <si>
    <t>1.6: 1
1.10: 1</t>
  </si>
  <si>
    <t>1.6: 1</t>
  </si>
  <si>
    <t>2.3: 2
2.4: 1</t>
  </si>
  <si>
    <t>2.5: 1</t>
  </si>
  <si>
    <t>2.6: 3</t>
  </si>
  <si>
    <t>2.3: 2
2.4: 2
2.5: 1-2
2.6: 1-2
2.7: 1-2</t>
  </si>
  <si>
    <t>3.1: 1-2-3
3.2: 1
3.3: 1
3.4: 1</t>
  </si>
  <si>
    <t>4.5: 1
4.6: 2</t>
  </si>
  <si>
    <t>4.1: 1
4.2: 1
4.3: 1-2
4.4: 1-2
4.6: 1
4.7: 1-2-3-4-5
4.8: 1-2</t>
  </si>
  <si>
    <t>5.1: 1
5.2: 1
5.3: 1
5.5: 1-2-3-4
5.6: 1
5.7: 1-2</t>
  </si>
  <si>
    <t>5.1: 1
5.5: 1-2-3-4
5.6: 1
5.7:2-4</t>
  </si>
  <si>
    <t>6.1: 3</t>
  </si>
  <si>
    <t>No se suma considerado</t>
  </si>
  <si>
    <t>6.1: 2-4
6.2: 1
6.4: 1-2</t>
  </si>
  <si>
    <t>6.1: 1-2-3
6.3: 1
6.4: 1
6.5: 1</t>
  </si>
  <si>
    <t>6.2: 3
6.3: 3</t>
  </si>
  <si>
    <t>7.1: 1</t>
  </si>
  <si>
    <t>7.1: 1
7.4: 1</t>
  </si>
  <si>
    <t>1. Fortalecimiento currícular y aseguramiento de la calidad</t>
  </si>
  <si>
    <r>
      <t xml:space="preserve">1. Fortalecimiento currícular y aseguramiento de la calidad </t>
    </r>
    <r>
      <rPr>
        <sz val="8"/>
        <color theme="1"/>
        <rFont val="Calibri"/>
        <family val="2"/>
        <scheme val="minor"/>
      </rPr>
      <t>(18)</t>
    </r>
  </si>
  <si>
    <t xml:space="preserve">1. Resumen criterio de financiación por eje transversal y lineamiento de acción </t>
  </si>
  <si>
    <t>2. Resumen criterio de financiación por proyecto y acción orientadora</t>
  </si>
  <si>
    <t>1.6 Fortalecimiento de la oferta académica de tal manera que permita articular el ciclo formativo. 
1.8 Estructuración y fortalecimiento del sistema Integrado de postgrados que respete los saberes y conocimientos que permitan una gestión basada en resultados de sostenibilidad de la oferta posgradual.
1.9 Creación de redes que vinculen las acciones de empleabilidad entre los egresados de la Universidad en alianza con el sector productivo para implementar convenios Universidad, Empresa, Estado en beneficio de la comunidad universitaria.
1.10 Desarrollo de estrategias que permitan realizar reportes de información con criterios de calidad y oportunidad en los diferentes sistemas de información del Ministerio de Educación Nacional, MEN (SPADIES, SNIES, SACES, etc.).</t>
  </si>
  <si>
    <t>Creación de nuevos doctorados y fortalecimiento de los existentes para fomentar la generación de nuevo conocimiento.</t>
  </si>
  <si>
    <t>1.6 Creación de nuevas facultades que permitan cerrar el ciclo formativo.
1.7 Creación de nuevos doctorados y fortalecimiento de los existentes para fomentar la generación de nuevo conocimiento.</t>
  </si>
  <si>
    <t>Presupuesto asociado</t>
  </si>
  <si>
    <t>Para el costeo de las nuevas facultades, se toma como referencia el Equipo gestor que actualmente se encuentra constituido para la creación de la nueva facultad de de ciencias de la salud, así las cosas, el equipo estaría conformado por 2 CPS Especializados, 1 CPS Profesional, 1 Asesor I y 2 docentes con descarga completa.
De otra parte, una vez se realizó la evaluación presupuestal y financiera de la Facultad de Ciencias de la Salud y el proyecto curricular de enfermería por parte del equipo de la Oficina Asesora de Planeación y Control, se determinó un valor para el desarrollo del proyecto en mención, asi: funcionamiento $ 22.417.880.261 e inversión $ 5.565.403.660. Es de anotar que, este valor se da hasta alcanzar el punto de estabilización en el noveno semestre de la primera cohorte; sin embargo, para el ejercio de evaluación presupuestal y financiera del Plan Indicativo se considera el valor que aplica al periodo de dicho Plan. 
Para las dos facultades restantes, solo se considera el costo actual de una decanatura; teniendo en cuenta que la puesta en marcha de cada facultad dependera de la naturaleza de la misma.</t>
  </si>
  <si>
    <t>Para el costeo se tiene como referencia el equipo de trabajo que actualmente se encuentra constituido para este fin conformado por la Rectoría, la Vicerrectoría Administrativa y Financiera y la Oficina Asesora de Planeación y Control. Adicionalmente, se incluye al equipo de trabajo correspondiente a la División de Recursos Humanos. 
Se incluye el costo estimado del estudio de la actualización y ampliación de la planta administrativa de acuerdo con las directrices del Departamento Administrativo de la Función Pública. Este costo se da únicamente para la vigencia en la que se realicen los estudios.
En relación con la implementación de la planta administrativa ampliada, dependerá del resultado del estudio de actualización y ampliación.</t>
  </si>
  <si>
    <t>Se toma como referencia el costo asociado a los docentes  de vinculación especial que soportan los espacios de segunda lengua a través del Instituto de Lenguas de la Universidad.</t>
  </si>
  <si>
    <t>No aplica el costeo, teniendo en cuenta que los cursos para funcionarios se dan a través de extensión y no tendría costo con el presupuesto de la Universidad</t>
  </si>
  <si>
    <t>El ejercicio de estructuración se lidera desde el Equipo Gestor de la Facultad de Ciencias de la Salud (Resolución 122 de 2022 de Rectoría), en la que participa la Rectoría, la Vicerrectoría Académica, la Oficina Asesora de Planeación y Control. 
La puesta en marcha dependerá del desarrollo de la hoja de ruta que definió el equipo Gestor de la Facultad, en la que se encuentra lo relacionado con el desarrollo del ejercicio presupuestal y financiero, que considera los gastos de funcionamiento y los gastos de inversión. 
Para la vigencia 2022 se cuentan con los recursos, sin embargo los requeridos para la puesta en marcha de la facultad se tendrán que gestionar. Para las vigencias 2023 -2025, el ejercicio de costeo incluye el costo del equipo de apoyo y servicios profesionales de la Facultad, determinados por un ejercicio previo realizado por la Oficina Asesora de Planeación y Control y la Vicerrectoría Administrativa y Financiera.
De otra parte, los recursos que se requieren para atender la infraestructura Física y Dotación de la misma, se tiene previsto que se atiendan a través del cupo de endeudamiento aprobado por el Concejo de Bogotá.
Para las dos facultades restantes, solo se considera el costo actual de una decanatura; teniendo en cuenta que la puesta en marcha de cada facultad dependerá de la naturaleza de la misma.</t>
  </si>
  <si>
    <t xml:space="preserve">4. Descripción proyectos que requieren de recursos por gestionar: </t>
  </si>
  <si>
    <t xml:space="preserve">3. Resumen criterio por vigencia </t>
  </si>
  <si>
    <t>Programas que implementan propósitos para la formación y el aprendizaje = (∑  Programas que implementan proporsitos para la formación y el aprendizaje/ Total de programas)*100</t>
  </si>
  <si>
    <t>Unidades académico-admistrativas formadas = (Unidades académico-admistrativas formadas en temas de accesibilidad y afectividad/ Unidades académico - administrativas activas en la institución)*100</t>
  </si>
  <si>
    <t xml:space="preserve">Estrategias diseñadas e implementadas = ∑ Estrategias diseñadas e implementadas </t>
  </si>
  <si>
    <t>Avance en la consolidación del observatorio de Empleabilidad = (acciones ejecutadas/acciones establecidas)*100</t>
  </si>
  <si>
    <t>Actos administrativos expedidos = (actos administrativos que defina la responsabilidad , y el proceso de seguimiento y verificación frente a la consolidación y reporte de la información requerida por los diferentes sistemas del MEN/actos administrativos requeridos)*100</t>
  </si>
  <si>
    <t>Avance en la viabilización del Estatuto General por parte del Consejo Superior Universitario (hoja de ruta definida)  =  (N. de acciones realizadas/ N. de acciones definidas) *100</t>
  </si>
  <si>
    <t xml:space="preserve">Estatutos complementarios ajustados = (Número de estatutos complementarios ajustados o creados/Número de estatutos establecidos)*100. </t>
  </si>
  <si>
    <t>Unidades o instancias ajustadas o creadas=(Número de Unidades o instancias ajustadas o creadas/Unidades o instancias objeto de ajuste) *100</t>
  </si>
  <si>
    <t>Nivel de actualización de los procesos = (∑ nivel de actualización de los procesos de acuerdo con la metodología de evaluación establecida/total de procesos)*100</t>
  </si>
  <si>
    <t xml:space="preserve">Porcentaje de aceptación de libros o capítulos de libros escritos por docentes como resultado de procesos de investigación = (libros o capítulos de libros escritos por docentes como resultado de procesos de investigación aprobados para publicación/Total de solicitudes de publicación de libros  o capítulos de libro de investigación realizadas)∗100 </t>
  </si>
  <si>
    <t xml:space="preserve">Porcentaje de publicaciones en revistas indexadas  por Minciencias= (publicaciones en revistas indexadas por Minciencias resultado de proyectos de investigación registrados/Proyectos de investigación finalizados)∗100 </t>
  </si>
  <si>
    <t>Programas de educación para el trabajo y el desarrollo humano   = ∑ Programas de educación para el trabajo y el desarrollo humano  en una lengua extranjera</t>
  </si>
  <si>
    <t>Avance en la implementación del Plan = (etapas ejecutadas/etapas establecidas)*100</t>
  </si>
  <si>
    <t>Implementación promedio de los planes en materia de talento humano = (∑ % implementación de los programas de ley en materia talento humano y bienestar social y laboral con seguimiento/ total de  Planes y programas del ley implementados por la Universidad en materia de talento humano, bienestar social y laboral)</t>
  </si>
  <si>
    <t>Nivel de implementación del Sistema Seguridad y Salud en el Trabajo de la Universidad Distrital = (∑ estandares/∑ máximo esperado)*100</t>
  </si>
  <si>
    <t>Estrategias de divulgación de los servicios de bienestar implementadas = ∑ Estrategias de divulgación de los servicios de bienestar diseñadas e implementadas.</t>
  </si>
  <si>
    <t>Avance en Implementación del sistema de información SIBUD = (%avance de los módulos/total de módulos)</t>
  </si>
  <si>
    <t>Porcentaje de usuarios satisfechos con los servicios de bienestar =  (∑ usuarios satisfechos con el servicico (calificación 4 ó 5)/Total de usuarios que califican los servicios)</t>
  </si>
  <si>
    <t>Porcentaje de personas beneficiadas por los programas de inclusión  (Formación)=  (personas de la Comunidad Universitaria beneficiados por los programas de inclusión /población objetivo para los programas de inclusión)*100</t>
  </si>
  <si>
    <t>Comunidad estudiantil en situación atendida = (población atendida/población caracterizada)*100</t>
  </si>
  <si>
    <t>Programas de pregrado y posgrado en modalidad virtual = Programas de pregrado y posgrado en modalidad virtual nuevos</t>
  </si>
  <si>
    <t>Avance en la implementación de los dominios y habilitadores de transformación digital = ∑ % implementación dominio / ∑ valor esperado del dominio (3)</t>
  </si>
  <si>
    <t>Nivel de implementación del Sistema de Gestión de Documentos Electrónicos de Archivos SGDEA =(procesos del MOP parametrizados en el SGDEA/Total de procesos del MOP)*100</t>
  </si>
  <si>
    <t>Trámites y OPA'S virtualizados=(Trámites y OPA's  virtualizados/Trámites y OPA's inscritos)*100</t>
  </si>
  <si>
    <t>Nivel de avance en la construcción y aprobación del PMEE (a partir de la hoja de ruta)=(número de actividades ejecutadas/número de actividades programadas)*100</t>
  </si>
  <si>
    <t>QS: 200
Scimago internacional: 334</t>
  </si>
  <si>
    <t>Porcentaje de graduados en la vigencia que tienen un dominio equivalente al nivel B2 en inglés según los criterios establecidos por el MCRE = [(graduados que alcanzaron el nivel B2 en SaberPro + graduados que alcanzaron B2 en Ext)/(graduados de la vigencia)]∗100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</si>
</sst>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0.0%"/>
    <numFmt numFmtId="166" formatCode="_-* #,##0_-;\-* #,##0_-;_-* &quot;-&quot;??_-;_-@_-"/>
    <numFmt numFmtId="167" formatCode="&quot;$&quot;\ #,##0"/>
    <numFmt numFmtId="168" formatCode="_-* #,##0\ _€_-;\-* #,##0\ _€_-;_-* &quot;-&quot;\ _€_-;_-@_-"/>
    <numFmt numFmtId="169" formatCode="_-&quot;$&quot;* #,##0.00_-;\-&quot;$&quot;* #,##0.00_-;_-&quot;$&quot;* &quot;-&quot;??_-;_-@_-"/>
    <numFmt numFmtId="170" formatCode="_(&quot;$&quot;\ * #,##0.00_);_(&quot;$&quot;\ * \(#,##0.00\);_(&quot;$&quot;\ * &quot;-&quot;??_);_(@_)"/>
    <numFmt numFmtId="171" formatCode="&quot;$&quot;\ #,##0.00"/>
  </numFmts>
  <fonts count="49">
    <font>
      <sz val="11"/>
      <color theme="1"/>
      <name val="Calibri"/>
      <family val="2"/>
      <scheme val="minor"/>
    </font>
    <font>
      <sz val="12"/>
      <color theme="1"/>
      <name val="Calibri"/>
      <family val="2"/>
      <scheme val="minor"/>
    </font>
    <font>
      <b/>
      <sz val="12"/>
      <color theme="0"/>
      <name val="Calibri"/>
      <family val="2"/>
      <scheme val="minor"/>
    </font>
    <font>
      <b/>
      <sz val="14"/>
      <color theme="0"/>
      <name val="Bahnschrift SemiBold SemiConden"/>
      <family val="2"/>
    </font>
    <font>
      <b/>
      <sz val="12"/>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color theme="1"/>
      <name val="Calibri"/>
      <family val="2"/>
    </font>
    <font>
      <b/>
      <sz val="11"/>
      <color theme="0"/>
      <name val="Calibri"/>
      <family val="2"/>
      <scheme val="minor"/>
    </font>
    <font>
      <sz val="10"/>
      <color rgb="FFFF0000"/>
      <name val="Calibri"/>
      <family val="2"/>
      <scheme val="minor"/>
    </font>
    <font>
      <sz val="10"/>
      <color theme="1"/>
      <name val="Calibri"/>
      <family val="2"/>
    </font>
    <font>
      <b/>
      <sz val="12"/>
      <name val="Calibri"/>
      <family val="2"/>
      <scheme val="minor"/>
    </font>
    <font>
      <sz val="10"/>
      <color rgb="FF7030A0"/>
      <name val="Calibri (Body)_x0000_"/>
    </font>
    <font>
      <sz val="9"/>
      <color indexed="81"/>
      <name val="Tahoma"/>
      <family val="2"/>
    </font>
    <font>
      <b/>
      <sz val="9"/>
      <color indexed="81"/>
      <name val="Tahoma"/>
      <family val="2"/>
    </font>
    <font>
      <b/>
      <sz val="9"/>
      <color rgb="FF000000"/>
      <name val="Tahoma"/>
      <family val="2"/>
    </font>
    <font>
      <sz val="9"/>
      <color rgb="FF000000"/>
      <name val="Tahoma"/>
      <family val="2"/>
    </font>
    <font>
      <b/>
      <sz val="11"/>
      <color theme="1"/>
      <name val="Calibri"/>
      <family val="2"/>
      <scheme val="minor"/>
    </font>
    <font>
      <sz val="11"/>
      <color rgb="FF00B050"/>
      <name val="Calibri"/>
      <family val="2"/>
      <scheme val="minor"/>
    </font>
    <font>
      <b/>
      <sz val="11"/>
      <name val="Calibri"/>
      <family val="2"/>
      <scheme val="minor"/>
    </font>
    <font>
      <u/>
      <sz val="10"/>
      <color theme="1"/>
      <name val="Calibri"/>
      <family val="2"/>
      <scheme val="minor"/>
    </font>
    <font>
      <sz val="10"/>
      <color rgb="FF000000"/>
      <name val="Calibri"/>
      <family val="2"/>
      <scheme val="minor"/>
    </font>
    <font>
      <sz val="11"/>
      <color rgb="FF9C6500"/>
      <name val="Calibri"/>
      <family val="2"/>
      <scheme val="minor"/>
    </font>
    <font>
      <sz val="11"/>
      <color rgb="FF002060"/>
      <name val="Calibri"/>
      <family val="2"/>
      <scheme val="minor"/>
    </font>
    <font>
      <sz val="10"/>
      <color rgb="FF002060"/>
      <name val="Calibri"/>
      <family val="2"/>
      <scheme val="minor"/>
    </font>
    <font>
      <sz val="10"/>
      <color rgb="FF002060"/>
      <name val="Calibri"/>
      <family val="2"/>
    </font>
    <font>
      <sz val="11"/>
      <color rgb="FF000000"/>
      <name val="Calibri"/>
      <family val="2"/>
    </font>
    <font>
      <sz val="10"/>
      <color rgb="FF000000"/>
      <name val="Tahoma"/>
      <family val="2"/>
    </font>
    <font>
      <b/>
      <sz val="10"/>
      <color rgb="FF000000"/>
      <name val="Tahoma"/>
      <family val="2"/>
    </font>
    <font>
      <sz val="10"/>
      <color theme="4" tint="-0.249977111117893"/>
      <name val="Calibri"/>
      <family val="2"/>
    </font>
    <font>
      <sz val="10"/>
      <color theme="4" tint="-0.499984740745262"/>
      <name val="Calibri"/>
      <family val="2"/>
      <scheme val="minor"/>
    </font>
    <font>
      <sz val="8"/>
      <name val="Calibri"/>
      <family val="2"/>
      <scheme val="minor"/>
    </font>
    <font>
      <sz val="10"/>
      <color theme="1"/>
      <name val="Calibri (Cuerpo)"/>
    </font>
    <font>
      <sz val="10"/>
      <name val="Calibri"/>
      <family val="2"/>
    </font>
    <font>
      <sz val="10"/>
      <name val="Calibri (Cuerpo)"/>
    </font>
    <font>
      <b/>
      <sz val="10"/>
      <color theme="0"/>
      <name val="Calibri"/>
      <family val="2"/>
      <scheme val="minor"/>
    </font>
    <font>
      <sz val="10"/>
      <color rgb="FF00B050"/>
      <name val="Calibri"/>
      <family val="2"/>
      <scheme val="minor"/>
    </font>
    <font>
      <i/>
      <sz val="10"/>
      <color theme="1"/>
      <name val="Calibri"/>
      <family val="2"/>
      <scheme val="minor"/>
    </font>
    <font>
      <b/>
      <sz val="10"/>
      <name val="Calibri"/>
      <family val="2"/>
      <scheme val="minor"/>
    </font>
    <font>
      <sz val="10"/>
      <name val="Arial"/>
      <family val="2"/>
    </font>
    <font>
      <sz val="9"/>
      <name val="Calibri"/>
      <family val="2"/>
      <scheme val="minor"/>
    </font>
    <font>
      <sz val="8"/>
      <color theme="1"/>
      <name val="Calibri"/>
      <family val="2"/>
      <scheme val="minor"/>
    </font>
    <font>
      <sz val="9"/>
      <color theme="1"/>
      <name val="Calibri"/>
      <family val="2"/>
      <scheme val="minor"/>
    </font>
    <font>
      <sz val="8"/>
      <color rgb="FFFF0000"/>
      <name val="Calibri"/>
      <family val="2"/>
      <scheme val="minor"/>
    </font>
    <font>
      <i/>
      <sz val="10"/>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EB9C"/>
      </patternFill>
    </fill>
    <fill>
      <patternFill patternType="solid">
        <fgColor theme="5"/>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4" tint="0.59999389629810485"/>
        <bgColor indexed="64"/>
      </patternFill>
    </fill>
    <fill>
      <patternFill patternType="solid">
        <fgColor theme="0"/>
        <bgColor theme="0"/>
      </patternFill>
    </fill>
    <fill>
      <patternFill patternType="solid">
        <fgColor theme="0"/>
        <bgColor rgb="FFFBE4D5"/>
      </patternFill>
    </fill>
    <fill>
      <patternFill patternType="solid">
        <fgColor theme="0"/>
        <bgColor rgb="FFFFFFFF"/>
      </patternFill>
    </fill>
    <fill>
      <patternFill patternType="solid">
        <fgColor theme="0" tint="-0.14999847407452621"/>
        <bgColor rgb="FFFBE4D5"/>
      </patternFill>
    </fill>
    <fill>
      <patternFill patternType="solid">
        <fgColor theme="0" tint="-0.14999847407452621"/>
        <bgColor theme="0"/>
      </patternFill>
    </fill>
    <fill>
      <patternFill patternType="solid">
        <fgColor rgb="FFFFFF00"/>
        <bgColor theme="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23">
    <xf numFmtId="0" fontId="0" fillId="0" borderId="0"/>
    <xf numFmtId="9" fontId="5" fillId="0" borderId="0" applyFont="0" applyFill="0" applyBorder="0" applyAlignment="0" applyProtection="0"/>
    <xf numFmtId="0" fontId="26"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8" fontId="43" fillId="0" borderId="0" applyFont="0" applyFill="0" applyBorder="0" applyAlignment="0" applyProtection="0"/>
    <xf numFmtId="0" fontId="43" fillId="0" borderId="0"/>
    <xf numFmtId="0" fontId="5" fillId="0" borderId="0"/>
    <xf numFmtId="0" fontId="43" fillId="0" borderId="0"/>
    <xf numFmtId="43"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0" fontId="43" fillId="0" borderId="0"/>
    <xf numFmtId="170" fontId="5"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42" fontId="5" fillId="0" borderId="0" applyFont="0" applyFill="0" applyBorder="0" applyAlignment="0" applyProtection="0"/>
  </cellStyleXfs>
  <cellXfs count="1111">
    <xf numFmtId="0" fontId="0" fillId="0" borderId="0" xfId="0"/>
    <xf numFmtId="0" fontId="0" fillId="2" borderId="1" xfId="0" applyFill="1" applyBorder="1" applyAlignment="1">
      <alignment horizontal="justify" vertical="center" wrapText="1"/>
    </xf>
    <xf numFmtId="0" fontId="0" fillId="2" borderId="0" xfId="0" applyFill="1" applyBorder="1" applyAlignment="1">
      <alignment horizontal="justify" vertical="center" wrapText="1"/>
    </xf>
    <xf numFmtId="0" fontId="2" fillId="3" borderId="1" xfId="0" applyFont="1" applyFill="1" applyBorder="1" applyAlignment="1">
      <alignment horizontal="center"/>
    </xf>
    <xf numFmtId="0" fontId="0" fillId="0" borderId="0" xfId="0" applyBorder="1"/>
    <xf numFmtId="0" fontId="0" fillId="2" borderId="1" xfId="0" applyFill="1" applyBorder="1" applyAlignment="1">
      <alignment horizontal="justify" vertical="center" wrapText="1"/>
    </xf>
    <xf numFmtId="0" fontId="2" fillId="3" borderId="4" xfId="0" applyFont="1" applyFill="1" applyBorder="1" applyAlignment="1">
      <alignment horizontal="center"/>
    </xf>
    <xf numFmtId="0" fontId="0" fillId="2" borderId="0" xfId="0" applyFill="1" applyBorder="1"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justify" vertical="center" wrapText="1"/>
    </xf>
    <xf numFmtId="0" fontId="0" fillId="2" borderId="2" xfId="0" applyFill="1" applyBorder="1" applyAlignment="1">
      <alignment horizontal="justify" vertical="center" wrapText="1"/>
    </xf>
    <xf numFmtId="0" fontId="0" fillId="2" borderId="1" xfId="0" applyFill="1" applyBorder="1" applyAlignment="1">
      <alignment horizontal="justify" vertical="center" wrapText="1"/>
    </xf>
    <xf numFmtId="0" fontId="0" fillId="2" borderId="1" xfId="0" applyFill="1" applyBorder="1" applyAlignment="1">
      <alignment horizontal="center" vertical="center" wrapText="1"/>
    </xf>
    <xf numFmtId="0" fontId="0" fillId="5" borderId="1" xfId="0" applyFill="1" applyBorder="1" applyAlignment="1">
      <alignment horizontal="justify" vertical="center" wrapText="1"/>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0" fontId="0" fillId="5" borderId="1" xfId="0" applyFill="1" applyBorder="1" applyAlignment="1">
      <alignment horizontal="center" vertical="center" wrapText="1"/>
    </xf>
    <xf numFmtId="0" fontId="0" fillId="5" borderId="2" xfId="0" applyFill="1" applyBorder="1" applyAlignment="1">
      <alignment horizontal="justify" vertical="center" wrapText="1"/>
    </xf>
    <xf numFmtId="0" fontId="0" fillId="5" borderId="1" xfId="0" applyFill="1" applyBorder="1" applyAlignment="1">
      <alignment horizontal="left" vertical="center" wrapText="1"/>
    </xf>
    <xf numFmtId="0" fontId="0" fillId="2" borderId="1" xfId="0" applyFill="1" applyBorder="1" applyAlignment="1">
      <alignment horizontal="justify" vertical="center"/>
    </xf>
    <xf numFmtId="9" fontId="0" fillId="2" borderId="1" xfId="0" applyNumberFormat="1" applyFill="1" applyBorder="1" applyAlignment="1">
      <alignment horizontal="center" vertical="center" wrapText="1"/>
    </xf>
    <xf numFmtId="9" fontId="0" fillId="5" borderId="1" xfId="1" applyFont="1" applyFill="1" applyBorder="1" applyAlignment="1">
      <alignment horizontal="center" vertical="center" wrapText="1"/>
    </xf>
    <xf numFmtId="10" fontId="0" fillId="2" borderId="1" xfId="0" applyNumberFormat="1" applyFill="1" applyBorder="1" applyAlignment="1">
      <alignment horizontal="center" vertical="center" wrapText="1"/>
    </xf>
    <xf numFmtId="10"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3" fontId="0" fillId="5" borderId="1" xfId="0" applyNumberFormat="1" applyFill="1" applyBorder="1" applyAlignment="1">
      <alignment horizontal="center" vertical="center" wrapText="1"/>
    </xf>
    <xf numFmtId="0" fontId="6" fillId="2" borderId="1" xfId="0" applyFont="1" applyFill="1" applyBorder="1" applyAlignment="1">
      <alignment horizontal="center" vertical="center" wrapText="1"/>
    </xf>
    <xf numFmtId="0" fontId="0" fillId="5" borderId="1" xfId="0" applyFill="1" applyBorder="1" applyAlignment="1">
      <alignment horizontal="justify" vertical="center" wrapText="1"/>
    </xf>
    <xf numFmtId="0" fontId="0" fillId="5" borderId="1" xfId="0" applyFill="1" applyBorder="1" applyAlignment="1">
      <alignment horizontal="center" vertical="center" wrapText="1"/>
    </xf>
    <xf numFmtId="9" fontId="0" fillId="2" borderId="1" xfId="0" applyNumberFormat="1" applyFill="1" applyBorder="1" applyAlignment="1">
      <alignment horizontal="center" vertical="center" wrapText="1"/>
    </xf>
    <xf numFmtId="0" fontId="0" fillId="5" borderId="1" xfId="0" applyFill="1" applyBorder="1" applyAlignment="1">
      <alignment horizontal="justify" vertical="center" wrapText="1"/>
    </xf>
    <xf numFmtId="164" fontId="0" fillId="5" borderId="1" xfId="0" applyNumberForma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5" borderId="1" xfId="0" applyFont="1" applyFill="1" applyBorder="1" applyAlignment="1">
      <alignment horizontal="justify" vertical="center" wrapText="1"/>
    </xf>
    <xf numFmtId="0" fontId="0" fillId="5" borderId="1" xfId="0" applyFont="1" applyFill="1" applyBorder="1" applyAlignment="1">
      <alignment horizontal="center" vertical="center" wrapText="1"/>
    </xf>
    <xf numFmtId="9" fontId="0" fillId="5" borderId="1" xfId="0" applyNumberFormat="1" applyFont="1" applyFill="1" applyBorder="1" applyAlignment="1">
      <alignment horizontal="center" vertical="center" wrapText="1"/>
    </xf>
    <xf numFmtId="3" fontId="0" fillId="5" borderId="1" xfId="0" applyNumberFormat="1" applyFont="1" applyFill="1" applyBorder="1" applyAlignment="1">
      <alignment horizontal="center" vertical="center" wrapText="1"/>
    </xf>
    <xf numFmtId="0" fontId="0" fillId="0" borderId="1" xfId="0" applyBorder="1" applyAlignment="1">
      <alignment horizontal="justify" vertical="center" wrapText="1"/>
    </xf>
    <xf numFmtId="0" fontId="0" fillId="2" borderId="1" xfId="0" applyFill="1" applyBorder="1" applyAlignment="1">
      <alignment horizontal="justify" vertical="center" wrapText="1"/>
    </xf>
    <xf numFmtId="0" fontId="0" fillId="0" borderId="1" xfId="0" applyBorder="1" applyAlignment="1">
      <alignment horizontal="justify" vertical="center"/>
    </xf>
    <xf numFmtId="0" fontId="0" fillId="6" borderId="1" xfId="0" applyFill="1" applyBorder="1" applyAlignment="1">
      <alignment horizontal="justify" vertical="center" wrapText="1"/>
    </xf>
    <xf numFmtId="0" fontId="0" fillId="6" borderId="1" xfId="0" applyFill="1" applyBorder="1" applyAlignment="1">
      <alignment horizontal="justify" vertical="center"/>
    </xf>
    <xf numFmtId="0" fontId="0" fillId="0" borderId="1" xfId="0" applyBorder="1" applyAlignment="1">
      <alignment horizontal="center" vertical="center"/>
    </xf>
    <xf numFmtId="0" fontId="4" fillId="0" borderId="0" xfId="0" applyFont="1"/>
    <xf numFmtId="0" fontId="0" fillId="0" borderId="1" xfId="0" applyBorder="1"/>
    <xf numFmtId="0" fontId="0" fillId="5" borderId="1" xfId="0" applyFill="1" applyBorder="1" applyAlignment="1">
      <alignmen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0" fontId="0" fillId="0" borderId="9" xfId="0" applyBorder="1" applyAlignment="1">
      <alignment horizontal="justify" vertical="center" wrapText="1"/>
    </xf>
    <xf numFmtId="0" fontId="0" fillId="0" borderId="9" xfId="0" applyBorder="1" applyAlignment="1">
      <alignment horizontal="center" vertical="center" wrapText="1"/>
    </xf>
    <xf numFmtId="0" fontId="0" fillId="6" borderId="13" xfId="0" applyFill="1" applyBorder="1" applyAlignment="1">
      <alignment horizontal="justify" vertical="center" wrapText="1"/>
    </xf>
    <xf numFmtId="0" fontId="0" fillId="6" borderId="13" xfId="0" applyFill="1" applyBorder="1" applyAlignment="1">
      <alignment horizontal="center"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horizontal="justify" vertical="center"/>
    </xf>
    <xf numFmtId="0" fontId="0" fillId="0" borderId="13"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justify" vertical="center" wrapText="1"/>
    </xf>
    <xf numFmtId="0" fontId="0" fillId="0" borderId="4" xfId="0" applyBorder="1" applyAlignment="1">
      <alignment horizontal="justify" vertical="center" wrapText="1"/>
    </xf>
    <xf numFmtId="0" fontId="0" fillId="0" borderId="2" xfId="0" applyBorder="1" applyAlignment="1">
      <alignment horizontal="justify" vertical="center" wrapText="1"/>
    </xf>
    <xf numFmtId="0" fontId="0" fillId="0" borderId="23" xfId="0" applyBorder="1"/>
    <xf numFmtId="0" fontId="4" fillId="0" borderId="23" xfId="0" applyFont="1" applyBorder="1"/>
    <xf numFmtId="15" fontId="0" fillId="0" borderId="0" xfId="0" applyNumberFormat="1"/>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0" fillId="0" borderId="1" xfId="0" applyBorder="1" applyAlignment="1">
      <alignment vertical="center" wrapText="1"/>
    </xf>
    <xf numFmtId="0" fontId="8" fillId="0" borderId="0" xfId="0" applyFont="1"/>
    <xf numFmtId="0" fontId="8" fillId="0" borderId="21" xfId="0" applyFont="1" applyBorder="1" applyAlignment="1">
      <alignment horizontal="justify" vertical="center" wrapText="1"/>
    </xf>
    <xf numFmtId="0" fontId="8" fillId="0" borderId="26" xfId="0" applyFont="1" applyBorder="1" applyAlignment="1">
      <alignment horizontal="justify"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8" fillId="2" borderId="1"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6" borderId="25" xfId="0" applyFont="1" applyFill="1" applyBorder="1" applyAlignment="1">
      <alignment horizontal="justify" vertical="center" wrapText="1"/>
    </xf>
    <xf numFmtId="0" fontId="8" fillId="0" borderId="25" xfId="0" applyFont="1" applyBorder="1" applyAlignment="1">
      <alignment horizontal="justify" vertical="center" wrapText="1"/>
    </xf>
    <xf numFmtId="0" fontId="8" fillId="0" borderId="5" xfId="0" applyFont="1" applyBorder="1" applyAlignment="1">
      <alignment horizontal="justify" vertical="center"/>
    </xf>
    <xf numFmtId="0" fontId="8" fillId="6" borderId="5" xfId="0" applyFont="1" applyFill="1" applyBorder="1" applyAlignment="1">
      <alignment horizontal="justify" vertical="center"/>
    </xf>
    <xf numFmtId="0" fontId="8" fillId="0" borderId="25" xfId="0" applyFont="1" applyBorder="1" applyAlignment="1">
      <alignment horizontal="justify" vertical="center"/>
    </xf>
    <xf numFmtId="0" fontId="0" fillId="2" borderId="5" xfId="0" applyFont="1" applyFill="1" applyBorder="1" applyAlignment="1">
      <alignment horizontal="justify" vertical="center" wrapText="1"/>
    </xf>
    <xf numFmtId="0" fontId="0" fillId="2" borderId="5" xfId="0" applyFill="1" applyBorder="1" applyAlignment="1">
      <alignment horizontal="justify" vertical="center" wrapText="1"/>
    </xf>
    <xf numFmtId="0" fontId="0" fillId="0" borderId="5" xfId="0" applyFont="1" applyBorder="1" applyAlignment="1">
      <alignment horizontal="justify" vertical="center" wrapText="1"/>
    </xf>
    <xf numFmtId="0" fontId="0" fillId="9" borderId="1" xfId="0" applyFill="1" applyBorder="1" applyAlignment="1">
      <alignment horizontal="justify" vertical="center" wrapText="1"/>
    </xf>
    <xf numFmtId="0" fontId="0" fillId="0" borderId="1" xfId="0" applyBorder="1" applyAlignment="1">
      <alignment horizontal="justify" vertical="center" wrapText="1"/>
    </xf>
    <xf numFmtId="0" fontId="0" fillId="0" borderId="4" xfId="0" applyBorder="1" applyAlignment="1">
      <alignment horizontal="center" vertical="center" wrapText="1"/>
    </xf>
    <xf numFmtId="0" fontId="0" fillId="0" borderId="4"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2" borderId="5" xfId="0" applyFont="1" applyFill="1" applyBorder="1" applyAlignment="1">
      <alignment horizontal="justify" vertical="center"/>
    </xf>
    <xf numFmtId="0" fontId="0" fillId="0" borderId="27" xfId="0" applyFont="1" applyBorder="1" applyAlignment="1">
      <alignment horizontal="justify" vertical="center" wrapText="1"/>
    </xf>
    <xf numFmtId="0" fontId="0" fillId="9" borderId="2" xfId="0" applyFill="1" applyBorder="1" applyAlignment="1">
      <alignment horizontal="center" vertical="center" wrapText="1"/>
    </xf>
    <xf numFmtId="0" fontId="0" fillId="0" borderId="2" xfId="0" applyBorder="1"/>
    <xf numFmtId="0" fontId="0" fillId="0" borderId="19" xfId="0" applyBorder="1" applyAlignment="1">
      <alignment horizontal="center" vertical="center" wrapText="1"/>
    </xf>
    <xf numFmtId="0" fontId="0" fillId="0" borderId="28" xfId="0" applyFont="1" applyBorder="1" applyAlignment="1">
      <alignment horizontal="justify" vertical="center" wrapText="1"/>
    </xf>
    <xf numFmtId="0" fontId="0" fillId="6" borderId="31" xfId="0" applyFill="1"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0" fillId="0" borderId="21" xfId="0" applyFont="1" applyBorder="1" applyAlignment="1">
      <alignment horizontal="justify" vertical="center" wrapText="1"/>
    </xf>
    <xf numFmtId="0" fontId="0" fillId="0" borderId="10" xfId="0" applyBorder="1" applyAlignment="1">
      <alignment horizontal="center" vertical="center" wrapText="1"/>
    </xf>
    <xf numFmtId="0" fontId="0" fillId="6" borderId="14" xfId="0"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justify" vertical="center" wrapText="1"/>
    </xf>
    <xf numFmtId="0" fontId="0" fillId="6" borderId="1" xfId="0" applyFill="1" applyBorder="1" applyAlignment="1">
      <alignment vertical="center" wrapText="1"/>
    </xf>
    <xf numFmtId="0" fontId="6" fillId="2" borderId="1" xfId="0" applyFont="1" applyFill="1" applyBorder="1" applyAlignment="1">
      <alignment horizontal="justify" vertical="center" wrapText="1"/>
    </xf>
    <xf numFmtId="0" fontId="0" fillId="6" borderId="1" xfId="0" applyFont="1" applyFill="1" applyBorder="1" applyAlignment="1">
      <alignment horizontal="justify" vertical="center" wrapText="1"/>
    </xf>
    <xf numFmtId="0" fontId="0" fillId="6"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justify" vertical="center" wrapText="1"/>
    </xf>
    <xf numFmtId="0" fontId="0" fillId="0" borderId="2" xfId="0" applyBorder="1" applyAlignment="1">
      <alignment horizontal="center" vertical="center"/>
    </xf>
    <xf numFmtId="0" fontId="0" fillId="6" borderId="1" xfId="0" applyFill="1" applyBorder="1" applyAlignment="1">
      <alignment horizontal="center" vertical="center" wrapText="1"/>
    </xf>
    <xf numFmtId="0" fontId="0" fillId="0" borderId="2" xfId="0" applyBorder="1" applyAlignment="1">
      <alignment horizontal="justify" vertical="center" wrapText="1"/>
    </xf>
    <xf numFmtId="0" fontId="0" fillId="2" borderId="2" xfId="0" applyFill="1" applyBorder="1" applyAlignment="1">
      <alignment horizontal="justify" vertical="center" wrapText="1"/>
    </xf>
    <xf numFmtId="0" fontId="0" fillId="6" borderId="2" xfId="0" applyFill="1" applyBorder="1" applyAlignment="1">
      <alignment horizontal="justify"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0" borderId="19" xfId="0" applyBorder="1" applyAlignment="1">
      <alignment horizontal="justify" vertical="center"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8" borderId="1" xfId="0" applyFill="1" applyBorder="1" applyAlignment="1">
      <alignment horizontal="justify"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justify" vertical="center" wrapText="1"/>
    </xf>
    <xf numFmtId="0" fontId="0" fillId="2" borderId="1" xfId="0" applyFill="1" applyBorder="1" applyAlignment="1">
      <alignment horizontal="justify" vertical="center" wrapText="1"/>
    </xf>
    <xf numFmtId="0" fontId="0" fillId="2" borderId="1" xfId="0" applyFill="1" applyBorder="1" applyAlignment="1">
      <alignment horizontal="justify" vertical="center"/>
    </xf>
    <xf numFmtId="0" fontId="0" fillId="2" borderId="1" xfId="0" applyFill="1" applyBorder="1" applyAlignment="1">
      <alignment horizontal="center" vertical="center"/>
    </xf>
    <xf numFmtId="0" fontId="8" fillId="0" borderId="27" xfId="0" applyFont="1" applyBorder="1" applyAlignment="1">
      <alignment horizontal="justify" vertical="center" wrapText="1"/>
    </xf>
    <xf numFmtId="0" fontId="0" fillId="0" borderId="31" xfId="0" applyBorder="1"/>
    <xf numFmtId="0" fontId="0" fillId="0" borderId="0" xfId="0" applyAlignment="1">
      <alignment horizontal="center"/>
    </xf>
    <xf numFmtId="0" fontId="0" fillId="0" borderId="0" xfId="0" applyAlignment="1">
      <alignment vertical="center"/>
    </xf>
    <xf numFmtId="0" fontId="0" fillId="6" borderId="13" xfId="0" applyFill="1" applyBorder="1" applyAlignment="1">
      <alignment horizontal="justify" vertical="center"/>
    </xf>
    <xf numFmtId="0" fontId="0" fillId="0" borderId="9" xfId="0" applyBorder="1" applyAlignment="1">
      <alignment horizontal="justify" vertical="center"/>
    </xf>
    <xf numFmtId="0" fontId="0" fillId="6" borderId="2" xfId="0" applyFill="1" applyBorder="1" applyAlignment="1">
      <alignment horizontal="justify" vertical="center"/>
    </xf>
    <xf numFmtId="0" fontId="4" fillId="7"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8" fillId="0" borderId="0" xfId="0" applyFont="1" applyAlignment="1">
      <alignment vertical="center"/>
    </xf>
    <xf numFmtId="0" fontId="8" fillId="0" borderId="1" xfId="0" applyFont="1" applyBorder="1"/>
    <xf numFmtId="0" fontId="8" fillId="0" borderId="1" xfId="0" applyFont="1" applyBorder="1" applyAlignment="1">
      <alignment horizontal="justify" vertical="center" wrapText="1"/>
    </xf>
    <xf numFmtId="0" fontId="8" fillId="6" borderId="1" xfId="0" applyFont="1" applyFill="1" applyBorder="1"/>
    <xf numFmtId="0" fontId="0" fillId="6" borderId="1" xfId="0" applyFill="1" applyBorder="1" applyAlignment="1">
      <alignment vertical="center"/>
    </xf>
    <xf numFmtId="0" fontId="8" fillId="6" borderId="1" xfId="0" applyFont="1" applyFill="1" applyBorder="1" applyAlignment="1">
      <alignment horizontal="justify" vertical="center" wrapText="1"/>
    </xf>
    <xf numFmtId="0" fontId="0" fillId="6" borderId="1" xfId="0" applyFill="1" applyBorder="1"/>
    <xf numFmtId="0" fontId="0" fillId="6" borderId="1" xfId="0" applyFill="1" applyBorder="1" applyAlignment="1">
      <alignment horizontal="center" wrapText="1"/>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0" fillId="6" borderId="1" xfId="0" applyFill="1" applyBorder="1" applyAlignment="1">
      <alignment horizontal="justify"/>
    </xf>
    <xf numFmtId="0" fontId="0" fillId="0" borderId="1" xfId="0" applyBorder="1" applyAlignment="1">
      <alignment horizontal="justify" wrapText="1"/>
    </xf>
    <xf numFmtId="0" fontId="8" fillId="6" borderId="27" xfId="0" applyFont="1" applyFill="1" applyBorder="1" applyAlignment="1">
      <alignment horizontal="justify"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2" borderId="0" xfId="0" applyFill="1" applyBorder="1" applyAlignment="1">
      <alignment horizontal="center" vertical="center"/>
    </xf>
    <xf numFmtId="0" fontId="0" fillId="6" borderId="30" xfId="0" applyFill="1" applyBorder="1" applyAlignment="1">
      <alignment horizontal="center" vertical="center" wrapText="1"/>
    </xf>
    <xf numFmtId="0" fontId="0" fillId="0" borderId="32" xfId="0" applyBorder="1"/>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wrapText="1"/>
    </xf>
    <xf numFmtId="0" fontId="0" fillId="10" borderId="13" xfId="0" applyFill="1" applyBorder="1" applyAlignment="1">
      <alignment horizontal="justify" vertical="center" wrapText="1"/>
    </xf>
    <xf numFmtId="0" fontId="0" fillId="0" borderId="0" xfId="0" applyAlignment="1">
      <alignment vertical="center" wrapText="1"/>
    </xf>
    <xf numFmtId="0" fontId="0" fillId="0" borderId="1" xfId="0" applyFont="1" applyBorder="1" applyAlignment="1">
      <alignment horizontal="center" vertical="center" wrapText="1"/>
    </xf>
    <xf numFmtId="0" fontId="0" fillId="9" borderId="1" xfId="0" applyFont="1" applyFill="1" applyBorder="1" applyAlignment="1">
      <alignment horizontal="justify" vertical="center" wrapText="1"/>
    </xf>
    <xf numFmtId="0" fontId="8" fillId="0" borderId="0" xfId="0" applyFont="1" applyAlignment="1">
      <alignment horizontal="justify" vertical="center"/>
    </xf>
    <xf numFmtId="0" fontId="8" fillId="0" borderId="0" xfId="0" applyFont="1" applyAlignment="1">
      <alignment horizontal="center" vertical="center"/>
    </xf>
    <xf numFmtId="0" fontId="0" fillId="0" borderId="7" xfId="0" applyBorder="1" applyAlignment="1">
      <alignment horizontal="justify" vertical="center" wrapText="1"/>
    </xf>
    <xf numFmtId="0" fontId="0" fillId="0" borderId="2" xfId="0" applyBorder="1" applyAlignment="1">
      <alignment horizontal="center" vertical="center" wrapText="1"/>
    </xf>
    <xf numFmtId="0" fontId="0" fillId="6" borderId="2" xfId="0" applyFill="1" applyBorder="1" applyAlignment="1">
      <alignment horizontal="justify" vertical="center" wrapText="1"/>
    </xf>
    <xf numFmtId="0" fontId="0" fillId="0" borderId="32" xfId="0" applyBorder="1" applyAlignment="1">
      <alignment horizontal="center" vertical="center" wrapText="1"/>
    </xf>
    <xf numFmtId="0" fontId="0" fillId="6" borderId="2"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11" borderId="2" xfId="0" applyFill="1" applyBorder="1" applyAlignment="1">
      <alignment horizontal="justify" vertical="center" wrapText="1"/>
    </xf>
    <xf numFmtId="0" fontId="0" fillId="11" borderId="1" xfId="0" applyFill="1" applyBorder="1" applyAlignment="1">
      <alignment horizontal="justify" vertical="center" wrapText="1"/>
    </xf>
    <xf numFmtId="0" fontId="0" fillId="11" borderId="1" xfId="0" applyFill="1" applyBorder="1" applyAlignment="1">
      <alignment horizontal="center" vertical="center" wrapText="1"/>
    </xf>
    <xf numFmtId="0" fontId="0" fillId="11" borderId="1" xfId="0" applyFill="1" applyBorder="1" applyAlignment="1">
      <alignment vertical="center" wrapText="1"/>
    </xf>
    <xf numFmtId="0" fontId="0" fillId="11" borderId="2" xfId="0" applyFill="1" applyBorder="1" applyAlignment="1">
      <alignment vertical="center" wrapText="1"/>
    </xf>
    <xf numFmtId="0" fontId="0" fillId="11" borderId="12" xfId="0" applyFill="1" applyBorder="1" applyAlignment="1">
      <alignment vertical="center" wrapText="1"/>
    </xf>
    <xf numFmtId="0" fontId="0" fillId="11" borderId="4" xfId="0" applyFill="1" applyBorder="1" applyAlignment="1">
      <alignment horizontal="justify" vertical="center" wrapText="1"/>
    </xf>
    <xf numFmtId="0" fontId="6" fillId="6" borderId="1" xfId="0" applyFont="1" applyFill="1" applyBorder="1" applyAlignment="1">
      <alignment horizontal="center" vertical="center" wrapText="1"/>
    </xf>
    <xf numFmtId="0" fontId="0" fillId="11" borderId="1" xfId="0" applyFill="1" applyBorder="1" applyAlignment="1">
      <alignment horizontal="left" vertical="center" wrapText="1"/>
    </xf>
    <xf numFmtId="0" fontId="0" fillId="11" borderId="1" xfId="0" applyFill="1" applyBorder="1" applyAlignment="1">
      <alignment horizontal="center" vertical="center"/>
    </xf>
    <xf numFmtId="0" fontId="0" fillId="11" borderId="1" xfId="0" applyFont="1" applyFill="1" applyBorder="1" applyAlignment="1">
      <alignment horizontal="justify" vertical="center" wrapText="1"/>
    </xf>
    <xf numFmtId="0" fontId="0" fillId="11" borderId="1" xfId="0" applyFont="1" applyFill="1" applyBorder="1" applyAlignment="1">
      <alignment horizontal="center" vertical="center" wrapText="1"/>
    </xf>
    <xf numFmtId="0" fontId="0" fillId="11" borderId="31" xfId="0" applyFont="1" applyFill="1" applyBorder="1" applyAlignment="1">
      <alignment horizontal="center" vertical="center" wrapText="1"/>
    </xf>
    <xf numFmtId="0" fontId="0" fillId="2" borderId="0" xfId="0" applyFill="1"/>
    <xf numFmtId="0" fontId="0" fillId="7" borderId="1" xfId="0" applyFill="1" applyBorder="1" applyAlignment="1">
      <alignment horizontal="center" vertical="center"/>
    </xf>
    <xf numFmtId="0" fontId="4" fillId="1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0" fontId="0" fillId="0" borderId="0" xfId="0" applyFont="1" applyAlignment="1">
      <alignment horizontal="center"/>
    </xf>
    <xf numFmtId="0" fontId="0" fillId="0" borderId="1" xfId="0" applyBorder="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horizontal="justify" vertical="center" wrapText="1"/>
    </xf>
    <xf numFmtId="0" fontId="0" fillId="0" borderId="1" xfId="0" applyBorder="1" applyAlignment="1">
      <alignment horizontal="justify" vertical="center"/>
    </xf>
    <xf numFmtId="0" fontId="8" fillId="0" borderId="1" xfId="0" applyFont="1" applyBorder="1" applyAlignment="1">
      <alignment horizontal="center" vertical="center"/>
    </xf>
    <xf numFmtId="0" fontId="22" fillId="0" borderId="0" xfId="0" applyFont="1"/>
    <xf numFmtId="0" fontId="0" fillId="0" borderId="1" xfId="0" applyBorder="1" applyAlignment="1">
      <alignment horizontal="left" vertical="center" wrapText="1"/>
    </xf>
    <xf numFmtId="0" fontId="0" fillId="7" borderId="1" xfId="0" applyFill="1" applyBorder="1" applyAlignment="1">
      <alignment horizontal="left" vertical="center" wrapText="1"/>
    </xf>
    <xf numFmtId="0" fontId="15" fillId="9" borderId="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justify" vertical="center" wrapText="1"/>
    </xf>
    <xf numFmtId="0" fontId="8" fillId="0" borderId="0" xfId="0" applyFont="1" applyAlignment="1">
      <alignment horizontal="center"/>
    </xf>
    <xf numFmtId="0" fontId="8" fillId="2" borderId="0" xfId="0" applyFont="1" applyFill="1" applyAlignment="1">
      <alignment horizontal="center" vertical="center" wrapText="1"/>
    </xf>
    <xf numFmtId="0" fontId="8" fillId="2" borderId="0" xfId="0" applyFont="1" applyFill="1"/>
    <xf numFmtId="0" fontId="23" fillId="9" borderId="1" xfId="0" applyFont="1" applyFill="1" applyBorder="1" applyAlignment="1">
      <alignment horizontal="center" vertical="center" wrapText="1"/>
    </xf>
    <xf numFmtId="0" fontId="8" fillId="0" borderId="0" xfId="0" applyFont="1" applyAlignment="1">
      <alignment horizontal="center" vertical="center" wrapText="1"/>
    </xf>
    <xf numFmtId="0" fontId="4" fillId="13" borderId="1" xfId="0" applyFont="1" applyFill="1" applyBorder="1" applyAlignment="1">
      <alignment horizontal="center" vertical="center"/>
    </xf>
    <xf numFmtId="0" fontId="0" fillId="6" borderId="0" xfId="0" applyFill="1"/>
    <xf numFmtId="0" fontId="0" fillId="2" borderId="0" xfId="0" applyFill="1" applyProtection="1"/>
    <xf numFmtId="0" fontId="0" fillId="0" borderId="0" xfId="0" applyFont="1" applyAlignment="1" applyProtection="1">
      <alignment horizontal="center"/>
    </xf>
    <xf numFmtId="0" fontId="0" fillId="0" borderId="0" xfId="0" applyFont="1" applyAlignment="1" applyProtection="1">
      <alignment horizontal="center" vertical="center"/>
    </xf>
    <xf numFmtId="0" fontId="0" fillId="0" borderId="0" xfId="0" applyFont="1" applyProtection="1"/>
    <xf numFmtId="0" fontId="0" fillId="0" borderId="0" xfId="0" applyAlignment="1" applyProtection="1">
      <alignment horizontal="center"/>
    </xf>
    <xf numFmtId="0" fontId="8" fillId="0" borderId="0" xfId="0" applyFont="1" applyAlignment="1" applyProtection="1">
      <alignment horizontal="center" vertical="center"/>
    </xf>
    <xf numFmtId="0" fontId="0" fillId="0" borderId="0" xfId="0" applyProtection="1"/>
    <xf numFmtId="0" fontId="0" fillId="2" borderId="0" xfId="0" applyFill="1" applyAlignment="1" applyProtection="1">
      <alignment horizontal="center"/>
    </xf>
    <xf numFmtId="9" fontId="8"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justify" vertical="center" wrapText="1"/>
    </xf>
    <xf numFmtId="0" fontId="13" fillId="2" borderId="1" xfId="0" applyFont="1" applyFill="1" applyBorder="1" applyAlignment="1" applyProtection="1">
      <alignment horizontal="justify" vertical="center" wrapText="1"/>
    </xf>
    <xf numFmtId="0" fontId="8" fillId="2" borderId="2" xfId="0" applyFont="1" applyFill="1" applyBorder="1" applyAlignment="1" applyProtection="1">
      <alignment horizontal="center" vertical="center" wrapText="1"/>
    </xf>
    <xf numFmtId="9"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justify" vertical="center" wrapText="1"/>
    </xf>
    <xf numFmtId="0" fontId="8" fillId="0" borderId="0" xfId="0" applyFont="1" applyAlignment="1" applyProtection="1">
      <alignment horizontal="justify" vertical="center"/>
    </xf>
    <xf numFmtId="0" fontId="8" fillId="4" borderId="1" xfId="0" applyFont="1" applyFill="1" applyBorder="1" applyAlignment="1" applyProtection="1">
      <alignment horizontal="justify" vertical="center" wrapText="1"/>
      <protection locked="0"/>
    </xf>
    <xf numFmtId="0" fontId="0"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locked="0"/>
    </xf>
    <xf numFmtId="0" fontId="8" fillId="4" borderId="1" xfId="0" applyFont="1" applyFill="1" applyBorder="1" applyAlignment="1" applyProtection="1">
      <alignment vertical="center" wrapText="1"/>
      <protection locked="0"/>
    </xf>
    <xf numFmtId="0" fontId="8" fillId="4" borderId="2" xfId="0" applyFont="1" applyFill="1" applyBorder="1" applyAlignment="1" applyProtection="1">
      <alignment horizontal="justify" vertical="center" wrapText="1"/>
      <protection locked="0"/>
    </xf>
    <xf numFmtId="0" fontId="0" fillId="4" borderId="1" xfId="0" applyFont="1" applyFill="1" applyBorder="1" applyAlignment="1" applyProtection="1">
      <alignment horizontal="justify" vertical="center" wrapText="1"/>
      <protection locked="0"/>
    </xf>
    <xf numFmtId="0" fontId="0" fillId="4" borderId="2" xfId="0" applyFont="1" applyFill="1" applyBorder="1" applyAlignment="1" applyProtection="1">
      <alignment horizontal="justify" vertical="center" wrapText="1"/>
      <protection locked="0"/>
    </xf>
    <xf numFmtId="0" fontId="8" fillId="0" borderId="0" xfId="0" applyFont="1" applyProtection="1">
      <protection locked="0"/>
    </xf>
    <xf numFmtId="0" fontId="8" fillId="0" borderId="0" xfId="0" applyFont="1" applyAlignment="1" applyProtection="1">
      <alignment horizontal="center" vertical="center"/>
      <protection locked="0"/>
    </xf>
    <xf numFmtId="0" fontId="22" fillId="0" borderId="0" xfId="0" applyFont="1" applyProtection="1">
      <protection locked="0"/>
    </xf>
    <xf numFmtId="0" fontId="0" fillId="0" borderId="0" xfId="0" applyAlignment="1" applyProtection="1">
      <alignment horizontal="justify" vertical="center"/>
      <protection locked="0"/>
    </xf>
    <xf numFmtId="0" fontId="8" fillId="0" borderId="0" xfId="0" applyFont="1" applyAlignment="1" applyProtection="1">
      <alignment horizontal="justify" vertical="center"/>
      <protection locked="0"/>
    </xf>
    <xf numFmtId="0" fontId="0" fillId="2" borderId="0" xfId="0" applyFill="1" applyAlignment="1" applyProtection="1">
      <alignment vertical="center"/>
    </xf>
    <xf numFmtId="0" fontId="9" fillId="0" borderId="0" xfId="0" applyFont="1" applyAlignment="1" applyProtection="1">
      <alignment horizontal="center"/>
    </xf>
    <xf numFmtId="0" fontId="4" fillId="0" borderId="0" xfId="0" applyFont="1" applyAlignment="1" applyProtection="1">
      <alignment horizontal="center"/>
    </xf>
    <xf numFmtId="0" fontId="9" fillId="0" borderId="0" xfId="0" applyFont="1" applyAlignment="1" applyProtection="1">
      <alignment horizontal="center" vertical="center"/>
    </xf>
    <xf numFmtId="0" fontId="4" fillId="12" borderId="1" xfId="0" applyFont="1" applyFill="1" applyBorder="1" applyAlignment="1" applyProtection="1">
      <alignment horizontal="center" vertical="center" wrapText="1"/>
    </xf>
    <xf numFmtId="0" fontId="8" fillId="2" borderId="3" xfId="0" applyFont="1" applyFill="1" applyBorder="1" applyAlignment="1" applyProtection="1">
      <alignment horizontal="justify" vertical="center" wrapText="1"/>
    </xf>
    <xf numFmtId="0" fontId="8" fillId="2" borderId="3" xfId="0" applyFont="1" applyFill="1" applyBorder="1" applyAlignment="1" applyProtection="1">
      <alignment horizontal="center" vertical="center" wrapText="1"/>
    </xf>
    <xf numFmtId="0" fontId="0" fillId="2" borderId="0" xfId="0" applyFont="1" applyFill="1" applyProtection="1"/>
    <xf numFmtId="3" fontId="8" fillId="2" borderId="2" xfId="0" applyNumberFormat="1" applyFont="1" applyFill="1" applyBorder="1" applyAlignment="1" applyProtection="1">
      <alignment horizontal="center" vertical="center" wrapText="1"/>
    </xf>
    <xf numFmtId="10" fontId="8" fillId="2" borderId="1" xfId="1"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10" fontId="8" fillId="2" borderId="1" xfId="1" applyNumberFormat="1" applyFont="1" applyFill="1" applyBorder="1" applyAlignment="1" applyProtection="1">
      <alignment horizontal="justify" vertical="center" wrapText="1"/>
    </xf>
    <xf numFmtId="10" fontId="8" fillId="2" borderId="2" xfId="1" applyNumberFormat="1" applyFont="1" applyFill="1" applyBorder="1" applyAlignment="1" applyProtection="1">
      <alignment horizontal="center" vertical="center" wrapText="1"/>
    </xf>
    <xf numFmtId="165" fontId="8" fillId="2" borderId="2" xfId="1" applyNumberFormat="1" applyFont="1" applyFill="1" applyBorder="1" applyAlignment="1" applyProtection="1">
      <alignment horizontal="center" vertical="center" wrapText="1"/>
    </xf>
    <xf numFmtId="10" fontId="8" fillId="2" borderId="2" xfId="0" applyNumberFormat="1" applyFont="1" applyFill="1" applyBorder="1" applyAlignment="1" applyProtection="1">
      <alignment horizontal="center" vertical="center" wrapText="1"/>
    </xf>
    <xf numFmtId="0" fontId="13" fillId="2" borderId="2" xfId="0" applyFont="1" applyFill="1" applyBorder="1" applyAlignment="1" applyProtection="1">
      <alignment horizontal="justify" vertical="center" wrapText="1"/>
    </xf>
    <xf numFmtId="0" fontId="13" fillId="2" borderId="2" xfId="0" applyFont="1" applyFill="1" applyBorder="1" applyAlignment="1" applyProtection="1">
      <alignment horizontal="center" vertical="center" wrapText="1"/>
    </xf>
    <xf numFmtId="9" fontId="13" fillId="2" borderId="2" xfId="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9" fontId="8" fillId="2" borderId="2" xfId="1" applyFont="1" applyFill="1" applyBorder="1" applyAlignment="1" applyProtection="1">
      <alignment horizontal="center" vertical="center" wrapText="1"/>
    </xf>
    <xf numFmtId="0" fontId="8" fillId="2"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center" vertical="center" wrapText="1"/>
    </xf>
    <xf numFmtId="165" fontId="13" fillId="2" borderId="2" xfId="0" applyNumberFormat="1" applyFont="1" applyFill="1" applyBorder="1" applyAlignment="1" applyProtection="1">
      <alignment horizontal="center" vertical="center" wrapText="1"/>
    </xf>
    <xf numFmtId="165" fontId="8" fillId="2" borderId="2" xfId="0" applyNumberFormat="1" applyFont="1" applyFill="1" applyBorder="1" applyAlignment="1" applyProtection="1">
      <alignment horizontal="center" vertical="center" wrapText="1"/>
    </xf>
    <xf numFmtId="165" fontId="8" fillId="0" borderId="2" xfId="0" applyNumberFormat="1" applyFont="1" applyBorder="1" applyAlignment="1" applyProtection="1">
      <alignment horizontal="center" vertical="center" wrapText="1"/>
    </xf>
    <xf numFmtId="9" fontId="13" fillId="2" borderId="1" xfId="0" applyNumberFormat="1" applyFont="1" applyFill="1" applyBorder="1" applyAlignment="1" applyProtection="1">
      <alignment horizontal="center" vertical="center" wrapText="1"/>
    </xf>
    <xf numFmtId="9" fontId="13" fillId="2" borderId="1" xfId="0" applyNumberFormat="1" applyFont="1" applyFill="1" applyBorder="1" applyAlignment="1" applyProtection="1">
      <alignment horizontal="justify" vertical="center" wrapText="1"/>
    </xf>
    <xf numFmtId="9" fontId="13" fillId="0" borderId="1" xfId="0" applyNumberFormat="1"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3" fontId="13" fillId="2" borderId="2" xfId="0" applyNumberFormat="1" applyFont="1" applyFill="1" applyBorder="1" applyAlignment="1" applyProtection="1">
      <alignment horizontal="center" vertical="center" wrapText="1"/>
    </xf>
    <xf numFmtId="3" fontId="13" fillId="0" borderId="2" xfId="0" applyNumberFormat="1" applyFont="1" applyFill="1" applyBorder="1" applyAlignment="1" applyProtection="1">
      <alignment horizontal="center" vertical="center" wrapText="1"/>
    </xf>
    <xf numFmtId="9" fontId="13" fillId="2" borderId="2" xfId="0" applyNumberFormat="1" applyFont="1" applyFill="1" applyBorder="1" applyAlignment="1" applyProtection="1">
      <alignment horizontal="center" vertical="center" wrapText="1"/>
    </xf>
    <xf numFmtId="0" fontId="8" fillId="2" borderId="7" xfId="0" applyFont="1" applyFill="1" applyBorder="1" applyAlignment="1" applyProtection="1">
      <alignment horizontal="justify" vertical="center" wrapText="1"/>
    </xf>
    <xf numFmtId="165" fontId="8" fillId="2" borderId="1" xfId="0" applyNumberFormat="1" applyFont="1" applyFill="1" applyBorder="1" applyAlignment="1" applyProtection="1">
      <alignment horizontal="center" vertical="center" wrapText="1"/>
    </xf>
    <xf numFmtId="165" fontId="8" fillId="0" borderId="1" xfId="0" applyNumberFormat="1" applyFont="1" applyBorder="1" applyAlignment="1" applyProtection="1">
      <alignment horizontal="center" vertical="center" wrapText="1"/>
    </xf>
    <xf numFmtId="0" fontId="8" fillId="2" borderId="34" xfId="0" applyFont="1" applyFill="1" applyBorder="1" applyAlignment="1" applyProtection="1">
      <alignment horizontal="justify" vertical="center" wrapText="1"/>
    </xf>
    <xf numFmtId="0" fontId="13" fillId="2" borderId="7"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8" fillId="4" borderId="3" xfId="0" applyFont="1" applyFill="1" applyBorder="1" applyAlignment="1" applyProtection="1">
      <alignment horizontal="justify" vertical="center" wrapText="1"/>
      <protection locked="0"/>
    </xf>
    <xf numFmtId="0" fontId="0" fillId="4" borderId="3" xfId="0" applyFont="1" applyFill="1" applyBorder="1" applyAlignment="1" applyProtection="1">
      <alignment horizontal="justify" vertical="center" wrapText="1"/>
      <protection locked="0"/>
    </xf>
    <xf numFmtId="0" fontId="8" fillId="4" borderId="2" xfId="0" applyFont="1" applyFill="1" applyBorder="1" applyAlignment="1" applyProtection="1">
      <alignment vertical="center" wrapText="1"/>
      <protection locked="0"/>
    </xf>
    <xf numFmtId="0" fontId="0" fillId="4" borderId="2" xfId="0" applyFont="1" applyFill="1" applyBorder="1" applyAlignment="1" applyProtection="1">
      <alignment vertical="center" wrapText="1"/>
      <protection locked="0"/>
    </xf>
    <xf numFmtId="9" fontId="0" fillId="4" borderId="2" xfId="1" applyFont="1" applyFill="1" applyBorder="1" applyAlignment="1" applyProtection="1">
      <alignment horizontal="justify" vertical="center" wrapText="1"/>
      <protection locked="0"/>
    </xf>
    <xf numFmtId="0" fontId="0" fillId="4" borderId="1" xfId="0" applyFill="1" applyBorder="1" applyAlignment="1" applyProtection="1">
      <alignment horizontal="justify" vertical="center" wrapText="1"/>
      <protection locked="0"/>
    </xf>
    <xf numFmtId="0" fontId="0" fillId="4" borderId="2" xfId="0" applyFill="1" applyBorder="1" applyAlignment="1" applyProtection="1">
      <alignment horizontal="justify" vertical="center" wrapText="1"/>
      <protection locked="0"/>
    </xf>
    <xf numFmtId="0" fontId="0" fillId="4" borderId="7"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xf>
    <xf numFmtId="9" fontId="8" fillId="2" borderId="1" xfId="0" applyNumberFormat="1" applyFont="1" applyFill="1" applyBorder="1" applyAlignment="1" applyProtection="1">
      <alignment horizontal="center" vertical="center" wrapText="1"/>
    </xf>
    <xf numFmtId="0" fontId="27" fillId="2" borderId="0" xfId="0" applyFont="1" applyFill="1"/>
    <xf numFmtId="0" fontId="0" fillId="0" borderId="0" xfId="0" applyFont="1" applyAlignment="1" applyProtection="1">
      <alignment horizontal="center" vertical="center" wrapText="1"/>
    </xf>
    <xf numFmtId="0" fontId="0" fillId="0" borderId="0" xfId="0" applyFont="1" applyAlignment="1" applyProtection="1">
      <alignment horizontal="center"/>
      <protection locked="0"/>
    </xf>
    <xf numFmtId="0" fontId="8" fillId="0" borderId="1" xfId="0" applyFont="1" applyBorder="1" applyAlignment="1">
      <alignment horizontal="justify" vertical="center" wrapText="1"/>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horizontal="justify" vertical="center" wrapText="1"/>
    </xf>
    <xf numFmtId="0" fontId="0" fillId="0" borderId="1" xfId="0" applyBorder="1" applyAlignment="1">
      <alignment horizontal="justify" vertical="center"/>
    </xf>
    <xf numFmtId="0" fontId="2" fillId="3" borderId="5" xfId="0" applyFont="1" applyFill="1" applyBorder="1" applyAlignment="1">
      <alignment horizontal="center" vertical="center"/>
    </xf>
    <xf numFmtId="0" fontId="0" fillId="0" borderId="1" xfId="0" applyBorder="1" applyAlignment="1">
      <alignment horizontal="center" vertical="center"/>
    </xf>
    <xf numFmtId="0" fontId="2" fillId="3" borderId="2" xfId="0" applyFont="1" applyFill="1" applyBorder="1" applyAlignment="1">
      <alignment horizontal="center" vertical="center"/>
    </xf>
    <xf numFmtId="0" fontId="8" fillId="2" borderId="0" xfId="0" applyFont="1" applyFill="1" applyAlignment="1">
      <alignment horizontal="center" vertical="center"/>
    </xf>
    <xf numFmtId="0" fontId="34" fillId="0" borderId="0" xfId="0" applyFont="1" applyAlignment="1">
      <alignment vertical="center"/>
    </xf>
    <xf numFmtId="1" fontId="0" fillId="0" borderId="0" xfId="0" applyNumberFormat="1"/>
    <xf numFmtId="0" fontId="0" fillId="0" borderId="5" xfId="0" applyBorder="1" applyAlignment="1">
      <alignment horizontal="center" vertical="center"/>
    </xf>
    <xf numFmtId="0" fontId="0" fillId="7" borderId="5" xfId="0" applyFill="1" applyBorder="1" applyAlignment="1">
      <alignment horizontal="center" vertical="center"/>
    </xf>
    <xf numFmtId="0" fontId="4" fillId="13" borderId="5" xfId="0" applyFont="1" applyFill="1" applyBorder="1" applyAlignment="1">
      <alignment horizontal="center" vertical="center"/>
    </xf>
    <xf numFmtId="0" fontId="0" fillId="0" borderId="1" xfId="0" applyFill="1" applyBorder="1" applyAlignment="1">
      <alignment horizontal="center" vertical="center"/>
    </xf>
    <xf numFmtId="0" fontId="36" fillId="0" borderId="1" xfId="0" applyFont="1" applyFill="1" applyBorder="1" applyAlignment="1" applyProtection="1">
      <alignment horizontal="justify"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0" applyFont="1" applyFill="1" applyBorder="1" applyAlignment="1">
      <alignment horizontal="justify" vertical="center"/>
    </xf>
    <xf numFmtId="0" fontId="4" fillId="13" borderId="44" xfId="0" applyFont="1" applyFill="1" applyBorder="1" applyAlignment="1">
      <alignment horizontal="center" vertical="center"/>
    </xf>
    <xf numFmtId="0" fontId="0" fillId="15" borderId="0" xfId="0" applyFill="1"/>
    <xf numFmtId="0" fontId="0" fillId="0" borderId="0" xfId="0" applyFill="1"/>
    <xf numFmtId="0" fontId="0" fillId="0" borderId="0" xfId="0" applyFont="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6" fillId="0" borderId="1" xfId="0" applyFont="1" applyFill="1" applyBorder="1" applyAlignment="1" applyProtection="1">
      <alignment horizontal="justify" vertical="center" wrapText="1"/>
    </xf>
    <xf numFmtId="0" fontId="36" fillId="0" borderId="1" xfId="0" applyFont="1" applyFill="1" applyBorder="1" applyAlignment="1" applyProtection="1">
      <alignment horizontal="justify"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justify"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justify" vertical="center" wrapText="1"/>
      <protection locked="0"/>
    </xf>
    <xf numFmtId="0" fontId="10" fillId="6" borderId="1" xfId="0" applyFont="1" applyFill="1" applyBorder="1" applyAlignment="1" applyProtection="1">
      <alignment horizontal="justify" vertical="center" wrapText="1"/>
    </xf>
    <xf numFmtId="0" fontId="10" fillId="6"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justify" vertical="center" wrapText="1"/>
      <protection locked="0"/>
    </xf>
    <xf numFmtId="0" fontId="10"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6" borderId="1" xfId="0" applyFont="1" applyFill="1" applyBorder="1" applyAlignment="1" applyProtection="1">
      <alignment horizontal="justify" vertical="center" wrapText="1"/>
    </xf>
    <xf numFmtId="0" fontId="10" fillId="0" borderId="1" xfId="0" applyFont="1" applyFill="1" applyBorder="1" applyAlignment="1" applyProtection="1">
      <alignment horizontal="left" vertical="center" wrapText="1"/>
    </xf>
    <xf numFmtId="1" fontId="10" fillId="0" borderId="1" xfId="0" applyNumberFormat="1" applyFont="1" applyFill="1" applyBorder="1" applyAlignment="1" applyProtection="1">
      <alignment horizontal="center" vertical="center" wrapText="1"/>
    </xf>
    <xf numFmtId="0" fontId="10" fillId="6" borderId="1" xfId="0" applyFont="1" applyFill="1" applyBorder="1" applyAlignment="1" applyProtection="1">
      <alignment horizontal="justify"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justify" vertical="center"/>
      <protection locked="0"/>
    </xf>
    <xf numFmtId="0" fontId="10" fillId="6" borderId="1" xfId="0" applyFont="1" applyFill="1" applyBorder="1" applyAlignment="1" applyProtection="1">
      <alignment horizontal="center" vertical="center"/>
      <protection locked="0"/>
    </xf>
    <xf numFmtId="0" fontId="10" fillId="0" borderId="1" xfId="0" applyFont="1" applyFill="1" applyBorder="1" applyAlignment="1">
      <alignment horizontal="justify" vertical="center"/>
    </xf>
    <xf numFmtId="0" fontId="10" fillId="6" borderId="1" xfId="0" applyFont="1" applyFill="1" applyBorder="1" applyAlignment="1" applyProtection="1">
      <alignment vertical="center" wrapText="1"/>
      <protection locked="0"/>
    </xf>
    <xf numFmtId="0" fontId="10" fillId="0" borderId="1" xfId="0" applyFont="1" applyFill="1" applyBorder="1" applyAlignment="1">
      <alignment horizontal="justify" vertical="center" wrapText="1"/>
    </xf>
    <xf numFmtId="0" fontId="10" fillId="6" borderId="1"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justify"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justify" vertical="center" wrapText="1"/>
    </xf>
    <xf numFmtId="0" fontId="10" fillId="6" borderId="1" xfId="0" applyFont="1" applyFill="1" applyBorder="1" applyAlignment="1">
      <alignment vertical="center" wrapText="1"/>
    </xf>
    <xf numFmtId="0" fontId="10" fillId="6" borderId="1" xfId="0" applyFont="1" applyFill="1" applyBorder="1" applyAlignment="1" applyProtection="1">
      <alignment horizontal="center" vertical="center"/>
    </xf>
    <xf numFmtId="0" fontId="10" fillId="6" borderId="1" xfId="0" applyFont="1" applyFill="1" applyBorder="1" applyAlignment="1" applyProtection="1">
      <alignment horizontal="left" vertical="center" wrapText="1"/>
    </xf>
    <xf numFmtId="1" fontId="10" fillId="6" borderId="1" xfId="0" applyNumberFormat="1" applyFont="1" applyFill="1" applyBorder="1" applyAlignment="1" applyProtection="1">
      <alignment horizontal="center" vertical="center" wrapText="1"/>
    </xf>
    <xf numFmtId="0" fontId="10" fillId="6" borderId="1" xfId="0" applyFont="1" applyFill="1" applyBorder="1" applyAlignment="1" applyProtection="1">
      <alignment horizontal="justify" vertical="center"/>
      <protection locked="0"/>
    </xf>
    <xf numFmtId="0" fontId="10" fillId="6" borderId="1"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ill="1" applyAlignment="1">
      <alignment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0" fontId="10" fillId="0" borderId="1" xfId="0" applyFont="1" applyFill="1" applyBorder="1" applyAlignment="1">
      <alignment vertical="center" wrapText="1"/>
    </xf>
    <xf numFmtId="0" fontId="38" fillId="0" borderId="1" xfId="0" applyFont="1" applyFill="1" applyBorder="1" applyAlignment="1">
      <alignment horizontal="justify" vertical="center"/>
    </xf>
    <xf numFmtId="0" fontId="10" fillId="0" borderId="1" xfId="0" applyFont="1" applyFill="1" applyBorder="1" applyAlignment="1" applyProtection="1">
      <alignment horizontal="justify" vertical="center"/>
    </xf>
    <xf numFmtId="0" fontId="10" fillId="0" borderId="1"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justify" vertical="center" wrapText="1"/>
      <protection locked="0"/>
    </xf>
    <xf numFmtId="0" fontId="37" fillId="0" borderId="1" xfId="0" applyFont="1" applyFill="1" applyBorder="1" applyAlignment="1">
      <alignment horizontal="center" vertical="center" wrapText="1"/>
    </xf>
    <xf numFmtId="0" fontId="37"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justify" vertical="center"/>
    </xf>
    <xf numFmtId="0" fontId="10" fillId="6" borderId="1" xfId="0" applyFont="1" applyFill="1" applyBorder="1" applyAlignment="1">
      <alignment horizontal="justify" vertical="center"/>
    </xf>
    <xf numFmtId="0" fontId="10" fillId="16" borderId="1" xfId="0" applyFont="1" applyFill="1" applyBorder="1" applyAlignment="1" applyProtection="1">
      <alignment horizontal="center" vertical="center" wrapText="1"/>
      <protection locked="0"/>
    </xf>
    <xf numFmtId="0" fontId="10" fillId="16" borderId="1" xfId="0" applyFont="1" applyFill="1" applyBorder="1" applyAlignment="1" applyProtection="1">
      <alignment horizontal="justify" vertical="center" wrapText="1"/>
      <protection locked="0"/>
    </xf>
    <xf numFmtId="0" fontId="36"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protection locked="0"/>
    </xf>
    <xf numFmtId="0" fontId="36" fillId="6" borderId="1" xfId="0" applyFont="1" applyFill="1" applyBorder="1" applyAlignment="1" applyProtection="1">
      <alignment horizontal="center" vertical="center" wrapText="1"/>
      <protection locked="0"/>
    </xf>
    <xf numFmtId="0" fontId="36" fillId="6" borderId="1" xfId="0" applyFont="1" applyFill="1" applyBorder="1" applyAlignment="1" applyProtection="1">
      <alignment horizontal="justify" vertical="center" wrapText="1"/>
      <protection locked="0"/>
    </xf>
    <xf numFmtId="0" fontId="36" fillId="6" borderId="1" xfId="0" applyFont="1" applyFill="1" applyBorder="1" applyAlignment="1" applyProtection="1">
      <alignment horizontal="center" vertical="center" wrapText="1"/>
    </xf>
    <xf numFmtId="0" fontId="36" fillId="6" borderId="1" xfId="0" applyFont="1" applyFill="1" applyBorder="1" applyAlignment="1" applyProtection="1">
      <alignment horizontal="justify" vertical="center" wrapText="1"/>
    </xf>
    <xf numFmtId="0" fontId="36" fillId="6" borderId="1" xfId="0" applyFont="1" applyFill="1" applyBorder="1" applyAlignment="1" applyProtection="1">
      <alignment vertical="center" wrapText="1"/>
      <protection locked="0"/>
    </xf>
    <xf numFmtId="0" fontId="36" fillId="6" borderId="1" xfId="0" applyFont="1" applyFill="1" applyBorder="1" applyAlignment="1">
      <alignment horizontal="justify" vertical="center" wrapText="1"/>
    </xf>
    <xf numFmtId="0" fontId="36" fillId="6" borderId="1" xfId="0" applyFont="1" applyFill="1" applyBorder="1" applyAlignment="1">
      <alignment horizontal="justify" vertical="center" wrapText="1"/>
    </xf>
    <xf numFmtId="0" fontId="36"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pplyProtection="1">
      <alignment horizontal="center" vertical="center"/>
    </xf>
    <xf numFmtId="9" fontId="10" fillId="0" borderId="1" xfId="0" applyNumberFormat="1" applyFont="1" applyFill="1" applyBorder="1" applyAlignment="1" applyProtection="1">
      <alignment horizontal="center" vertical="center" wrapText="1"/>
      <protection locked="0"/>
    </xf>
    <xf numFmtId="0" fontId="10" fillId="7" borderId="1" xfId="0" applyFont="1" applyFill="1" applyBorder="1" applyAlignment="1" applyProtection="1">
      <alignment horizontal="justify" vertical="center" wrapText="1"/>
      <protection locked="0"/>
    </xf>
    <xf numFmtId="9" fontId="10" fillId="0" borderId="1" xfId="1" applyFont="1" applyFill="1" applyBorder="1" applyAlignment="1" applyProtection="1">
      <alignment horizontal="center" vertical="center" wrapText="1"/>
      <protection locked="0"/>
    </xf>
    <xf numFmtId="9" fontId="10" fillId="0" borderId="35" xfId="0" applyNumberFormat="1" applyFont="1" applyFill="1" applyBorder="1" applyAlignment="1" applyProtection="1">
      <alignment horizontal="center" vertical="center" wrapText="1"/>
      <protection locked="0"/>
    </xf>
    <xf numFmtId="9" fontId="10" fillId="0" borderId="7" xfId="0" applyNumberFormat="1" applyFont="1" applyFill="1" applyBorder="1" applyAlignment="1" applyProtection="1">
      <alignment horizontal="center" vertical="center" wrapText="1"/>
      <protection locked="0"/>
    </xf>
    <xf numFmtId="9" fontId="10" fillId="0" borderId="41" xfId="0" applyNumberFormat="1"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0" xfId="0" applyFont="1" applyFill="1" applyAlignment="1" applyProtection="1">
      <alignment horizontal="center" vertical="center" wrapText="1"/>
    </xf>
    <xf numFmtId="0" fontId="13" fillId="17" borderId="1" xfId="0" applyFont="1" applyFill="1" applyBorder="1" applyAlignment="1" applyProtection="1">
      <alignment horizontal="justify" vertical="center" wrapText="1"/>
    </xf>
    <xf numFmtId="0" fontId="13" fillId="17" borderId="2" xfId="0" applyFont="1" applyFill="1" applyBorder="1" applyAlignment="1" applyProtection="1">
      <alignment horizontal="justify" vertical="center" wrapText="1"/>
    </xf>
    <xf numFmtId="0" fontId="13" fillId="17" borderId="7" xfId="0" applyFont="1" applyFill="1" applyBorder="1" applyAlignment="1" applyProtection="1">
      <alignment horizontal="justify" vertical="center" wrapText="1"/>
    </xf>
    <xf numFmtId="0" fontId="8" fillId="18" borderId="2" xfId="0" applyFont="1" applyFill="1" applyBorder="1" applyAlignment="1" applyProtection="1">
      <alignment horizontal="center" vertical="center" wrapText="1"/>
    </xf>
    <xf numFmtId="0" fontId="8" fillId="18" borderId="1" xfId="0" applyFont="1" applyFill="1" applyBorder="1" applyAlignment="1" applyProtection="1">
      <alignment horizontal="center" vertical="center" wrapText="1"/>
    </xf>
    <xf numFmtId="0" fontId="8" fillId="2" borderId="1" xfId="0" applyFont="1" applyFill="1" applyBorder="1" applyAlignment="1">
      <alignment horizontal="justify" vertical="center"/>
    </xf>
    <xf numFmtId="44" fontId="0" fillId="2" borderId="1" xfId="3" applyNumberFormat="1" applyFont="1" applyFill="1" applyBorder="1" applyAlignment="1">
      <alignment vertical="center"/>
    </xf>
    <xf numFmtId="167" fontId="0" fillId="2" borderId="0" xfId="0" applyNumberFormat="1" applyFill="1" applyAlignment="1">
      <alignment vertical="center"/>
    </xf>
    <xf numFmtId="167" fontId="0" fillId="2" borderId="0" xfId="3" applyNumberFormat="1" applyFont="1" applyFill="1" applyAlignment="1">
      <alignment vertical="center"/>
    </xf>
    <xf numFmtId="0" fontId="13" fillId="0" borderId="1" xfId="0" applyFont="1" applyFill="1" applyBorder="1" applyAlignment="1" applyProtection="1">
      <alignment horizontal="justify" vertical="center" wrapText="1"/>
      <protection locked="0"/>
    </xf>
    <xf numFmtId="167" fontId="39" fillId="3" borderId="0" xfId="3" applyNumberFormat="1" applyFont="1" applyFill="1" applyAlignment="1">
      <alignment vertical="center"/>
    </xf>
    <xf numFmtId="166" fontId="39" fillId="3" borderId="0" xfId="3" applyNumberFormat="1" applyFont="1" applyFill="1" applyAlignment="1">
      <alignment vertical="center"/>
    </xf>
    <xf numFmtId="0" fontId="8" fillId="2" borderId="1" xfId="0" applyFont="1" applyFill="1" applyBorder="1" applyAlignment="1">
      <alignment horizontal="justify" wrapText="1"/>
    </xf>
    <xf numFmtId="0" fontId="21" fillId="2" borderId="0" xfId="0" applyFont="1" applyFill="1" applyAlignment="1">
      <alignment vertical="center"/>
    </xf>
    <xf numFmtId="166" fontId="21" fillId="2" borderId="0" xfId="3" applyNumberFormat="1" applyFont="1" applyFill="1" applyAlignment="1">
      <alignment vertical="center"/>
    </xf>
    <xf numFmtId="0" fontId="7" fillId="0" borderId="0" xfId="0" applyFont="1"/>
    <xf numFmtId="0" fontId="10" fillId="0" borderId="1" xfId="0" applyFont="1" applyBorder="1" applyAlignment="1" applyProtection="1">
      <alignment horizontal="justify" vertical="center" wrapText="1"/>
      <protection locked="0"/>
    </xf>
    <xf numFmtId="0" fontId="8" fillId="2" borderId="0" xfId="0" applyFont="1" applyFill="1" applyAlignment="1">
      <alignment vertical="center"/>
    </xf>
    <xf numFmtId="0" fontId="10" fillId="0" borderId="1" xfId="0" applyFont="1" applyFill="1" applyBorder="1" applyAlignment="1" applyProtection="1">
      <alignment horizontal="center" vertical="center" wrapText="1"/>
      <protection locked="0"/>
    </xf>
    <xf numFmtId="44" fontId="0" fillId="0" borderId="1" xfId="3" applyNumberFormat="1" applyFont="1" applyFill="1" applyBorder="1" applyAlignment="1">
      <alignment vertical="center"/>
    </xf>
    <xf numFmtId="0" fontId="10" fillId="2" borderId="1" xfId="0" applyFont="1" applyFill="1" applyBorder="1" applyAlignment="1">
      <alignment horizontal="justify" vertical="center" wrapText="1"/>
    </xf>
    <xf numFmtId="0" fontId="7" fillId="0" borderId="0" xfId="0" applyFont="1" applyFill="1"/>
    <xf numFmtId="9" fontId="37" fillId="2" borderId="42" xfId="0" applyNumberFormat="1" applyFont="1" applyFill="1" applyBorder="1" applyAlignment="1">
      <alignment horizontal="center" vertical="center" wrapText="1"/>
    </xf>
    <xf numFmtId="0" fontId="37" fillId="2" borderId="41" xfId="0" applyFont="1" applyFill="1" applyBorder="1" applyAlignment="1">
      <alignment horizontal="justify" vertical="center" wrapText="1"/>
    </xf>
    <xf numFmtId="0" fontId="10" fillId="2" borderId="1" xfId="0" applyFont="1" applyFill="1" applyBorder="1" applyAlignment="1" applyProtection="1">
      <alignment horizontal="justify" vertical="center"/>
      <protection locked="0"/>
    </xf>
    <xf numFmtId="0" fontId="10" fillId="2" borderId="2" xfId="0" applyFont="1" applyFill="1" applyBorder="1" applyAlignment="1" applyProtection="1">
      <alignment horizontal="center" vertical="center"/>
      <protection locked="0"/>
    </xf>
    <xf numFmtId="9" fontId="10"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justify" vertical="center" wrapText="1"/>
      <protection locked="0"/>
    </xf>
    <xf numFmtId="0" fontId="0" fillId="2" borderId="0" xfId="0" applyFill="1" applyAlignment="1">
      <alignment vertical="center"/>
    </xf>
    <xf numFmtId="0" fontId="37" fillId="19" borderId="42" xfId="0" applyFont="1" applyFill="1" applyBorder="1" applyAlignment="1">
      <alignment horizontal="center" vertical="center" wrapText="1"/>
    </xf>
    <xf numFmtId="9" fontId="37" fillId="20" borderId="37" xfId="0" applyNumberFormat="1" applyFont="1" applyFill="1" applyBorder="1" applyAlignment="1">
      <alignment horizontal="center" vertical="center" wrapText="1"/>
    </xf>
    <xf numFmtId="0" fontId="37" fillId="20" borderId="37" xfId="0" applyFont="1" applyFill="1" applyBorder="1" applyAlignment="1">
      <alignment horizontal="justify" vertical="center" wrapText="1"/>
    </xf>
    <xf numFmtId="0" fontId="29" fillId="19" borderId="50" xfId="0" applyFont="1" applyFill="1" applyBorder="1" applyAlignment="1">
      <alignment horizontal="justify" vertical="center" wrapText="1"/>
    </xf>
    <xf numFmtId="0" fontId="37" fillId="2" borderId="41" xfId="0" applyFont="1" applyFill="1" applyBorder="1" applyAlignment="1">
      <alignment horizontal="center" vertical="center" wrapText="1"/>
    </xf>
    <xf numFmtId="0" fontId="37" fillId="19" borderId="36" xfId="0" applyFont="1" applyFill="1" applyBorder="1" applyAlignment="1">
      <alignment horizontal="center" vertical="center"/>
    </xf>
    <xf numFmtId="0" fontId="37" fillId="19" borderId="42" xfId="0" applyFont="1" applyFill="1" applyBorder="1" applyAlignment="1">
      <alignment horizontal="justify" vertical="center" wrapText="1"/>
    </xf>
    <xf numFmtId="9" fontId="37" fillId="20" borderId="42" xfId="0" applyNumberFormat="1" applyFont="1" applyFill="1" applyBorder="1" applyAlignment="1">
      <alignment horizontal="center" vertical="center" wrapText="1"/>
    </xf>
    <xf numFmtId="0" fontId="37" fillId="20" borderId="42" xfId="0" applyFont="1" applyFill="1" applyBorder="1" applyAlignment="1">
      <alignment horizontal="justify" vertical="center" wrapText="1"/>
    </xf>
    <xf numFmtId="0" fontId="37" fillId="20" borderId="42" xfId="0" applyFont="1" applyFill="1" applyBorder="1" applyAlignment="1">
      <alignment horizontal="center" vertical="center" wrapText="1"/>
    </xf>
    <xf numFmtId="9" fontId="37" fillId="2" borderId="42" xfId="0" applyNumberFormat="1" applyFont="1" applyFill="1" applyBorder="1" applyAlignment="1">
      <alignment horizontal="justify" vertical="center" wrapText="1"/>
    </xf>
    <xf numFmtId="9" fontId="37" fillId="2" borderId="42"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8" fillId="2" borderId="5" xfId="0" applyFont="1" applyFill="1" applyBorder="1" applyAlignment="1" applyProtection="1">
      <alignment horizontal="justify" vertical="center" wrapText="1"/>
      <protection locked="0"/>
    </xf>
    <xf numFmtId="9" fontId="37" fillId="20" borderId="41" xfId="0" applyNumberFormat="1" applyFont="1" applyFill="1" applyBorder="1" applyAlignment="1">
      <alignment horizontal="center" vertical="center" wrapText="1"/>
    </xf>
    <xf numFmtId="0" fontId="37" fillId="20" borderId="41" xfId="0" applyFont="1" applyFill="1" applyBorder="1" applyAlignment="1">
      <alignment horizontal="justify" vertical="center" wrapText="1"/>
    </xf>
    <xf numFmtId="0" fontId="37" fillId="20" borderId="41" xfId="0" applyFont="1" applyFill="1" applyBorder="1" applyAlignment="1">
      <alignment horizontal="center" vertical="center" wrapText="1"/>
    </xf>
    <xf numFmtId="9" fontId="37" fillId="19" borderId="41" xfId="0" applyNumberFormat="1" applyFont="1" applyFill="1" applyBorder="1" applyAlignment="1">
      <alignment horizontal="center" vertical="center" wrapText="1"/>
    </xf>
    <xf numFmtId="0" fontId="37" fillId="19" borderId="41" xfId="0" applyFont="1" applyFill="1" applyBorder="1" applyAlignment="1">
      <alignment horizontal="center" vertical="center" wrapText="1"/>
    </xf>
    <xf numFmtId="0" fontId="37" fillId="20" borderId="41" xfId="0" applyFont="1" applyFill="1" applyBorder="1" applyAlignment="1">
      <alignment horizontal="left" vertical="center" wrapText="1"/>
    </xf>
    <xf numFmtId="0" fontId="14" fillId="19" borderId="50" xfId="0" applyFont="1" applyFill="1" applyBorder="1" applyAlignment="1">
      <alignment horizontal="left" vertical="center" wrapText="1"/>
    </xf>
    <xf numFmtId="9" fontId="10" fillId="2" borderId="1" xfId="1" applyFont="1" applyFill="1" applyBorder="1" applyAlignment="1" applyProtection="1">
      <alignment horizontal="center" vertical="center" wrapText="1"/>
      <protection locked="0"/>
    </xf>
    <xf numFmtId="9" fontId="37" fillId="2" borderId="41" xfId="1" applyFont="1" applyFill="1" applyBorder="1" applyAlignment="1">
      <alignment horizontal="center" vertical="center" wrapText="1"/>
    </xf>
    <xf numFmtId="0" fontId="10" fillId="2" borderId="0" xfId="0" applyFont="1" applyFill="1" applyAlignment="1" applyProtection="1">
      <alignment horizontal="center" vertical="center" wrapText="1"/>
    </xf>
    <xf numFmtId="9" fontId="37" fillId="2" borderId="41" xfId="0" applyNumberFormat="1" applyFont="1" applyFill="1" applyBorder="1" applyAlignment="1">
      <alignment horizontal="center" vertical="center" wrapText="1"/>
    </xf>
    <xf numFmtId="9" fontId="10" fillId="2" borderId="2" xfId="0" applyNumberFormat="1"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3" fontId="10" fillId="2" borderId="2" xfId="0" applyNumberFormat="1"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1" fontId="10" fillId="2" borderId="1" xfId="1" applyNumberFormat="1" applyFont="1" applyFill="1" applyBorder="1" applyAlignment="1" applyProtection="1">
      <alignment horizontal="center" vertical="center" wrapText="1"/>
      <protection locked="0"/>
    </xf>
    <xf numFmtId="1" fontId="10" fillId="2" borderId="1" xfId="0" applyNumberFormat="1" applyFont="1" applyFill="1" applyBorder="1" applyAlignment="1" applyProtection="1">
      <alignment horizontal="center" vertical="center" wrapText="1"/>
      <protection locked="0"/>
    </xf>
    <xf numFmtId="3" fontId="10" fillId="2" borderId="1" xfId="0" applyNumberFormat="1" applyFont="1" applyFill="1" applyBorder="1" applyAlignment="1">
      <alignment horizontal="center" vertical="center"/>
    </xf>
    <xf numFmtId="1" fontId="10" fillId="2" borderId="2" xfId="0" applyNumberFormat="1" applyFont="1" applyFill="1" applyBorder="1" applyAlignment="1" applyProtection="1">
      <alignment horizontal="center" vertical="center" wrapText="1"/>
      <protection locked="0"/>
    </xf>
    <xf numFmtId="1" fontId="10" fillId="2" borderId="4" xfId="0" applyNumberFormat="1" applyFont="1" applyFill="1" applyBorder="1" applyAlignment="1" applyProtection="1">
      <alignment horizontal="center" vertical="center" wrapText="1"/>
      <protection locked="0"/>
    </xf>
    <xf numFmtId="0" fontId="37" fillId="2" borderId="4" xfId="0" applyFont="1" applyFill="1" applyBorder="1" applyAlignment="1" applyProtection="1">
      <alignment horizontal="justify" vertical="center" wrapText="1"/>
      <protection locked="0"/>
    </xf>
    <xf numFmtId="9" fontId="10" fillId="2" borderId="4"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justify" vertical="center"/>
      <protection locked="0"/>
    </xf>
    <xf numFmtId="0" fontId="10" fillId="2" borderId="2" xfId="0" applyFont="1" applyFill="1" applyBorder="1" applyAlignment="1" applyProtection="1">
      <alignment vertical="center" wrapText="1"/>
      <protection locked="0"/>
    </xf>
    <xf numFmtId="0" fontId="28" fillId="2" borderId="5" xfId="0" applyFont="1" applyFill="1" applyBorder="1" applyAlignment="1" applyProtection="1">
      <alignment vertical="center" wrapText="1"/>
      <protection locked="0"/>
    </xf>
    <xf numFmtId="0" fontId="8" fillId="2" borderId="1" xfId="0" applyFont="1" applyFill="1" applyBorder="1" applyAlignment="1" applyProtection="1">
      <alignment horizontal="center" vertical="center"/>
      <protection locked="0"/>
    </xf>
    <xf numFmtId="0" fontId="37" fillId="19" borderId="41" xfId="0" applyFont="1" applyFill="1" applyBorder="1" applyAlignment="1">
      <alignment horizontal="justify" vertical="center" wrapText="1"/>
    </xf>
    <xf numFmtId="0" fontId="10" fillId="21" borderId="41" xfId="0" applyFont="1" applyFill="1" applyBorder="1" applyAlignment="1">
      <alignment horizontal="center" vertical="center" wrapText="1"/>
    </xf>
    <xf numFmtId="0" fontId="33" fillId="19" borderId="50" xfId="0" applyFont="1" applyFill="1" applyBorder="1" applyAlignment="1">
      <alignment horizontal="left" vertical="center" wrapText="1"/>
    </xf>
    <xf numFmtId="9" fontId="10" fillId="2" borderId="1" xfId="0" applyNumberFormat="1" applyFont="1" applyFill="1" applyBorder="1" applyAlignment="1">
      <alignment horizontal="center" vertical="center"/>
    </xf>
    <xf numFmtId="0" fontId="10" fillId="7" borderId="1" xfId="0" applyFont="1" applyFill="1" applyBorder="1" applyAlignment="1" applyProtection="1">
      <alignment horizontal="left" vertical="center" wrapText="1"/>
      <protection locked="0"/>
    </xf>
    <xf numFmtId="0" fontId="8" fillId="7" borderId="5" xfId="0" applyFont="1" applyFill="1" applyBorder="1" applyAlignment="1" applyProtection="1">
      <alignment vertical="center" wrapText="1"/>
      <protection locked="0"/>
    </xf>
    <xf numFmtId="0" fontId="0" fillId="7" borderId="0" xfId="0" applyFill="1"/>
    <xf numFmtId="0" fontId="8" fillId="7" borderId="5" xfId="0" applyFont="1" applyFill="1" applyBorder="1" applyAlignment="1" applyProtection="1">
      <alignment vertical="center"/>
      <protection locked="0"/>
    </xf>
    <xf numFmtId="9" fontId="10" fillId="7" borderId="1" xfId="0" applyNumberFormat="1"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9" fontId="10" fillId="7" borderId="1" xfId="0" applyNumberFormat="1" applyFont="1" applyFill="1" applyBorder="1" applyAlignment="1" applyProtection="1">
      <alignment horizontal="center" vertical="center" wrapText="1"/>
    </xf>
    <xf numFmtId="0" fontId="8" fillId="7" borderId="26" xfId="0" applyFont="1" applyFill="1" applyBorder="1" applyAlignment="1" applyProtection="1">
      <alignment vertical="center" wrapText="1"/>
      <protection locked="0"/>
    </xf>
    <xf numFmtId="0" fontId="8" fillId="7" borderId="43" xfId="0" applyFont="1" applyFill="1" applyBorder="1" applyAlignment="1" applyProtection="1">
      <alignment vertical="center" wrapText="1"/>
      <protection locked="0"/>
    </xf>
    <xf numFmtId="0" fontId="40" fillId="7" borderId="43" xfId="0" applyFont="1" applyFill="1" applyBorder="1" applyAlignment="1" applyProtection="1">
      <alignment horizontal="center" vertical="center" wrapText="1"/>
      <protection locked="0"/>
    </xf>
    <xf numFmtId="9" fontId="10" fillId="7" borderId="1" xfId="1" applyFont="1" applyFill="1" applyBorder="1" applyAlignment="1" applyProtection="1">
      <alignment horizontal="center" vertical="center" wrapText="1"/>
      <protection locked="0"/>
    </xf>
    <xf numFmtId="0" fontId="28" fillId="7" borderId="5" xfId="0" applyFont="1" applyFill="1" applyBorder="1" applyAlignment="1" applyProtection="1">
      <alignment horizontal="justify" vertical="center" wrapText="1"/>
      <protection locked="0"/>
    </xf>
    <xf numFmtId="0" fontId="28" fillId="7" borderId="5" xfId="0" applyFont="1" applyFill="1" applyBorder="1" applyAlignment="1" applyProtection="1">
      <alignment horizontal="justify" vertical="center"/>
      <protection locked="0"/>
    </xf>
    <xf numFmtId="0" fontId="10" fillId="7" borderId="0" xfId="0" applyFont="1" applyFill="1" applyAlignment="1" applyProtection="1">
      <alignment horizontal="justify" vertical="center"/>
      <protection locked="0"/>
    </xf>
    <xf numFmtId="9" fontId="10" fillId="22" borderId="36" xfId="0" applyNumberFormat="1" applyFont="1" applyFill="1" applyBorder="1" applyAlignment="1">
      <alignment horizontal="center" vertical="center" wrapText="1"/>
    </xf>
    <xf numFmtId="0" fontId="10" fillId="22" borderId="38" xfId="0" applyFont="1" applyFill="1" applyBorder="1" applyAlignment="1">
      <alignment horizontal="justify" vertical="center" wrapText="1"/>
    </xf>
    <xf numFmtId="0" fontId="10" fillId="22" borderId="40" xfId="0" applyFont="1" applyFill="1" applyBorder="1" applyAlignment="1">
      <alignment horizontal="center" vertical="center"/>
    </xf>
    <xf numFmtId="9" fontId="10" fillId="7" borderId="1" xfId="1" applyFont="1" applyFill="1" applyBorder="1" applyAlignment="1" applyProtection="1">
      <alignment horizontal="center" vertical="center" wrapText="1"/>
    </xf>
    <xf numFmtId="0" fontId="10" fillId="22" borderId="39" xfId="0" applyFont="1" applyFill="1" applyBorder="1" applyAlignment="1">
      <alignment horizontal="justify" vertical="center" wrapText="1"/>
    </xf>
    <xf numFmtId="0" fontId="10" fillId="22" borderId="37" xfId="0" applyFont="1" applyFill="1" applyBorder="1" applyAlignment="1">
      <alignment horizontal="center" vertical="center"/>
    </xf>
    <xf numFmtId="9" fontId="10" fillId="7" borderId="3" xfId="1" applyFont="1" applyFill="1" applyBorder="1" applyAlignment="1" applyProtection="1">
      <alignment horizontal="center" vertical="center" wrapText="1"/>
      <protection locked="0"/>
    </xf>
    <xf numFmtId="0" fontId="8" fillId="7" borderId="5" xfId="0" applyFont="1" applyFill="1" applyBorder="1" applyAlignment="1" applyProtection="1">
      <alignment horizontal="justify" vertical="center"/>
      <protection locked="0"/>
    </xf>
    <xf numFmtId="0" fontId="8" fillId="7" borderId="5" xfId="0" applyFont="1" applyFill="1" applyBorder="1" applyAlignment="1" applyProtection="1">
      <alignment horizontal="justify" vertical="center" wrapText="1"/>
      <protection locked="0"/>
    </xf>
    <xf numFmtId="9" fontId="10" fillId="7" borderId="2" xfId="0" applyNumberFormat="1" applyFont="1" applyFill="1" applyBorder="1" applyAlignment="1">
      <alignment horizontal="center" vertical="center"/>
    </xf>
    <xf numFmtId="0" fontId="10" fillId="7" borderId="2" xfId="0" applyFont="1" applyFill="1" applyBorder="1" applyAlignment="1">
      <alignment horizontal="justify" vertical="center"/>
    </xf>
    <xf numFmtId="0" fontId="10" fillId="7"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justify" vertical="center" wrapText="1"/>
    </xf>
    <xf numFmtId="9" fontId="10" fillId="7" borderId="4" xfId="0" applyNumberFormat="1" applyFont="1" applyFill="1" applyBorder="1" applyAlignment="1" applyProtection="1">
      <alignment horizontal="center" vertical="center" wrapText="1"/>
      <protection locked="0"/>
    </xf>
    <xf numFmtId="9" fontId="10" fillId="22" borderId="41" xfId="0" applyNumberFormat="1" applyFont="1" applyFill="1" applyBorder="1" applyAlignment="1">
      <alignment horizontal="center" vertical="center" wrapText="1"/>
    </xf>
    <xf numFmtId="9" fontId="37" fillId="22" borderId="41" xfId="0" applyNumberFormat="1" applyFont="1" applyFill="1" applyBorder="1" applyAlignment="1">
      <alignment horizontal="center" vertical="center" wrapText="1"/>
    </xf>
    <xf numFmtId="0" fontId="10" fillId="22" borderId="41" xfId="0" applyFont="1" applyFill="1" applyBorder="1" applyAlignment="1">
      <alignment horizontal="justify" vertical="center" wrapText="1"/>
    </xf>
    <xf numFmtId="0" fontId="10" fillId="22" borderId="41" xfId="0" applyFont="1" applyFill="1" applyBorder="1" applyAlignment="1">
      <alignment horizontal="center" vertical="center" wrapText="1"/>
    </xf>
    <xf numFmtId="0" fontId="10" fillId="22" borderId="36" xfId="0" applyFont="1" applyFill="1" applyBorder="1" applyAlignment="1">
      <alignment horizontal="justify" vertical="center" wrapText="1"/>
    </xf>
    <xf numFmtId="9" fontId="37" fillId="23" borderId="41" xfId="0" applyNumberFormat="1" applyFont="1" applyFill="1" applyBorder="1" applyAlignment="1">
      <alignment horizontal="center" vertical="center" wrapText="1"/>
    </xf>
    <xf numFmtId="0" fontId="37" fillId="23" borderId="41" xfId="0" applyFont="1" applyFill="1" applyBorder="1" applyAlignment="1">
      <alignment horizontal="center" vertical="center" wrapText="1"/>
    </xf>
    <xf numFmtId="0" fontId="14" fillId="7" borderId="50" xfId="0" applyFont="1" applyFill="1" applyBorder="1" applyAlignment="1">
      <alignment horizontal="left" vertical="center" wrapText="1"/>
    </xf>
    <xf numFmtId="0" fontId="10" fillId="22" borderId="36" xfId="0" applyFont="1" applyFill="1" applyBorder="1" applyAlignment="1">
      <alignment horizontal="center" vertical="center" wrapText="1"/>
    </xf>
    <xf numFmtId="0" fontId="14" fillId="7" borderId="50" xfId="0" applyFont="1" applyFill="1" applyBorder="1" applyAlignment="1">
      <alignment vertical="center" wrapText="1"/>
    </xf>
    <xf numFmtId="0" fontId="37" fillId="22" borderId="41" xfId="0" applyFont="1" applyFill="1" applyBorder="1" applyAlignment="1">
      <alignment horizontal="left" vertical="center" wrapText="1"/>
    </xf>
    <xf numFmtId="0" fontId="10" fillId="22" borderId="41" xfId="0" applyFont="1" applyFill="1" applyBorder="1" applyAlignment="1">
      <alignment horizontal="left" vertical="center" wrapText="1"/>
    </xf>
    <xf numFmtId="0" fontId="10" fillId="22" borderId="41" xfId="0" applyNumberFormat="1" applyFont="1" applyFill="1" applyBorder="1" applyAlignment="1">
      <alignment horizontal="center" vertical="center" wrapText="1"/>
    </xf>
    <xf numFmtId="0" fontId="37" fillId="22" borderId="41" xfId="0" applyFont="1" applyFill="1" applyBorder="1" applyAlignment="1">
      <alignment horizontal="center" vertical="center" wrapText="1"/>
    </xf>
    <xf numFmtId="0" fontId="37" fillId="7" borderId="41" xfId="0" applyFont="1" applyFill="1" applyBorder="1" applyAlignment="1">
      <alignment horizontal="center" vertical="center" wrapText="1"/>
    </xf>
    <xf numFmtId="0" fontId="29" fillId="7" borderId="50" xfId="0" applyFont="1" applyFill="1" applyBorder="1" applyAlignment="1">
      <alignment horizontal="justify" vertical="center" wrapText="1"/>
    </xf>
    <xf numFmtId="0" fontId="37" fillId="7" borderId="41" xfId="0" applyFont="1" applyFill="1" applyBorder="1" applyAlignment="1">
      <alignment horizontal="justify" vertical="center" wrapText="1"/>
    </xf>
    <xf numFmtId="9" fontId="37" fillId="7" borderId="41" xfId="1" applyFont="1" applyFill="1" applyBorder="1" applyAlignment="1">
      <alignment horizontal="center" vertical="center" wrapText="1"/>
    </xf>
    <xf numFmtId="0" fontId="37" fillId="22" borderId="41" xfId="0" applyFont="1" applyFill="1" applyBorder="1" applyAlignment="1">
      <alignment horizontal="justify" vertical="center" wrapText="1"/>
    </xf>
    <xf numFmtId="9" fontId="37" fillId="22" borderId="41" xfId="1" applyFont="1" applyFill="1" applyBorder="1" applyAlignment="1">
      <alignment horizontal="center" vertical="center" wrapText="1"/>
    </xf>
    <xf numFmtId="9" fontId="37" fillId="23" borderId="41" xfId="1" applyFont="1" applyFill="1" applyBorder="1" applyAlignment="1">
      <alignment horizontal="center" vertical="center" wrapText="1"/>
    </xf>
    <xf numFmtId="165" fontId="37" fillId="22" borderId="41" xfId="0" applyNumberFormat="1" applyFont="1" applyFill="1" applyBorder="1" applyAlignment="1">
      <alignment horizontal="center" vertical="center" wrapText="1"/>
    </xf>
    <xf numFmtId="0" fontId="10" fillId="7" borderId="0" xfId="0" applyFont="1" applyFill="1" applyAlignment="1">
      <alignment horizontal="justify" vertical="center"/>
    </xf>
    <xf numFmtId="9" fontId="10" fillId="7" borderId="1" xfId="0" applyNumberFormat="1" applyFont="1" applyFill="1" applyBorder="1" applyAlignment="1" applyProtection="1">
      <alignment horizontal="justify" vertical="center" wrapText="1"/>
    </xf>
    <xf numFmtId="9" fontId="10" fillId="7" borderId="2" xfId="0" applyNumberFormat="1" applyFont="1" applyFill="1" applyBorder="1" applyAlignment="1" applyProtection="1">
      <alignment horizontal="center" vertical="center" wrapText="1"/>
      <protection locked="0"/>
    </xf>
    <xf numFmtId="9" fontId="10" fillId="7" borderId="1" xfId="0" applyNumberFormat="1" applyFont="1" applyFill="1" applyBorder="1" applyAlignment="1" applyProtection="1">
      <alignment horizontal="justify" vertical="center" wrapText="1"/>
      <protection locked="0"/>
    </xf>
    <xf numFmtId="0" fontId="13" fillId="7" borderId="1" xfId="0" applyFont="1" applyFill="1" applyBorder="1" applyAlignment="1" applyProtection="1">
      <alignment horizontal="justify" vertical="center" wrapText="1"/>
      <protection locked="0"/>
    </xf>
    <xf numFmtId="0" fontId="10" fillId="7" borderId="1" xfId="0" applyFont="1" applyFill="1" applyBorder="1" applyAlignment="1" applyProtection="1">
      <alignment vertical="center" wrapText="1"/>
      <protection locked="0"/>
    </xf>
    <xf numFmtId="0" fontId="27" fillId="7" borderId="0" xfId="0" applyFont="1" applyFill="1"/>
    <xf numFmtId="0" fontId="10" fillId="7" borderId="1" xfId="0" applyNumberFormat="1" applyFont="1" applyFill="1" applyBorder="1" applyAlignment="1" applyProtection="1">
      <alignment horizontal="center" vertical="center" wrapText="1"/>
      <protection locked="0"/>
    </xf>
    <xf numFmtId="0" fontId="10" fillId="7" borderId="4" xfId="0" applyNumberFormat="1" applyFont="1" applyFill="1" applyBorder="1" applyAlignment="1" applyProtection="1">
      <alignment horizontal="center" vertical="center" wrapText="1"/>
      <protection locked="0"/>
    </xf>
    <xf numFmtId="0" fontId="10" fillId="7" borderId="1" xfId="0" applyFont="1" applyFill="1" applyBorder="1" applyAlignment="1">
      <alignment horizontal="justify" vertical="center"/>
    </xf>
    <xf numFmtId="0" fontId="28" fillId="7" borderId="5" xfId="0" applyFont="1" applyFill="1" applyBorder="1" applyAlignment="1" applyProtection="1">
      <alignment vertical="center" wrapText="1"/>
      <protection locked="0"/>
    </xf>
    <xf numFmtId="0" fontId="0" fillId="7" borderId="0" xfId="0" applyFill="1" applyAlignment="1">
      <alignment vertical="center"/>
    </xf>
    <xf numFmtId="44" fontId="0" fillId="7" borderId="1" xfId="3" applyNumberFormat="1" applyFont="1" applyFill="1" applyBorder="1" applyAlignment="1">
      <alignment vertical="center"/>
    </xf>
    <xf numFmtId="0" fontId="8" fillId="7" borderId="1" xfId="0" applyFont="1" applyFill="1" applyBorder="1" applyAlignment="1">
      <alignment horizontal="justify" vertical="center" wrapText="1"/>
    </xf>
    <xf numFmtId="0" fontId="8" fillId="7" borderId="1" xfId="0" applyFont="1" applyFill="1" applyBorder="1" applyAlignment="1">
      <alignment horizontal="justify" vertical="center"/>
    </xf>
    <xf numFmtId="0" fontId="0" fillId="0" borderId="0" xfId="0" applyFill="1" applyAlignment="1">
      <alignment horizontal="center" vertical="center" wrapText="1"/>
    </xf>
    <xf numFmtId="3" fontId="10" fillId="2" borderId="26" xfId="9" applyNumberFormat="1" applyFont="1" applyFill="1" applyBorder="1" applyAlignment="1">
      <alignment horizontal="justify" vertical="center" wrapText="1"/>
    </xf>
    <xf numFmtId="3" fontId="10" fillId="7" borderId="26" xfId="9"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pplyProtection="1">
      <alignment horizontal="center" vertical="center" wrapText="1"/>
    </xf>
    <xf numFmtId="0" fontId="10" fillId="7" borderId="2" xfId="0" applyFont="1" applyFill="1" applyBorder="1" applyAlignment="1" applyProtection="1">
      <alignment horizontal="center" vertical="center" wrapText="1"/>
    </xf>
    <xf numFmtId="0" fontId="10" fillId="7" borderId="3"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2" borderId="2"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justify" vertical="center" wrapText="1"/>
      <protection locked="0"/>
    </xf>
    <xf numFmtId="0" fontId="10" fillId="7" borderId="4" xfId="0" applyFont="1" applyFill="1" applyBorder="1" applyAlignment="1" applyProtection="1">
      <alignment horizontal="justify" vertical="center" wrapText="1"/>
      <protection locked="0"/>
    </xf>
    <xf numFmtId="0" fontId="10" fillId="7"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10" fillId="2" borderId="1" xfId="0" applyNumberFormat="1" applyFont="1" applyFill="1" applyBorder="1" applyAlignment="1" applyProtection="1">
      <alignment horizontal="center" vertical="center" wrapText="1"/>
      <protection locked="0"/>
    </xf>
    <xf numFmtId="44" fontId="7" fillId="7" borderId="1" xfId="3" applyNumberFormat="1" applyFont="1" applyFill="1" applyBorder="1" applyAlignment="1">
      <alignment vertical="center"/>
    </xf>
    <xf numFmtId="44" fontId="42" fillId="7" borderId="1" xfId="3" applyNumberFormat="1" applyFont="1" applyFill="1" applyBorder="1" applyAlignment="1">
      <alignment vertical="center"/>
    </xf>
    <xf numFmtId="44" fontId="42" fillId="2" borderId="1" xfId="3" applyNumberFormat="1" applyFont="1" applyFill="1" applyBorder="1" applyAlignment="1">
      <alignment vertical="center"/>
    </xf>
    <xf numFmtId="44" fontId="10" fillId="7" borderId="1" xfId="3" applyNumberFormat="1" applyFont="1" applyFill="1" applyBorder="1" applyAlignment="1">
      <alignment vertical="center"/>
    </xf>
    <xf numFmtId="44" fontId="10" fillId="2" borderId="1" xfId="3" applyNumberFormat="1" applyFont="1" applyFill="1" applyBorder="1" applyAlignment="1">
      <alignment vertical="center"/>
    </xf>
    <xf numFmtId="44" fontId="10" fillId="0" borderId="1" xfId="3" applyNumberFormat="1" applyFont="1" applyFill="1" applyBorder="1" applyAlignment="1">
      <alignment vertical="center"/>
    </xf>
    <xf numFmtId="44" fontId="7" fillId="2" borderId="0" xfId="0" applyNumberFormat="1" applyFont="1" applyFill="1" applyAlignment="1">
      <alignment vertical="center"/>
    </xf>
    <xf numFmtId="44" fontId="0" fillId="4" borderId="1" xfId="3" applyNumberFormat="1" applyFont="1" applyFill="1" applyBorder="1" applyAlignment="1">
      <alignment vertical="center"/>
    </xf>
    <xf numFmtId="44" fontId="42" fillId="0" borderId="1" xfId="3" applyNumberFormat="1" applyFont="1" applyFill="1" applyBorder="1" applyAlignment="1">
      <alignment vertical="center"/>
    </xf>
    <xf numFmtId="0" fontId="8" fillId="0" borderId="1" xfId="0" applyFont="1" applyFill="1" applyBorder="1" applyAlignment="1">
      <alignment horizontal="justify" vertical="center"/>
    </xf>
    <xf numFmtId="44" fontId="42" fillId="4" borderId="1" xfId="3" applyNumberFormat="1" applyFont="1" applyFill="1" applyBorder="1" applyAlignment="1">
      <alignment vertical="center"/>
    </xf>
    <xf numFmtId="0" fontId="10" fillId="0" borderId="2" xfId="0" applyFont="1" applyFill="1" applyBorder="1" applyAlignment="1" applyProtection="1">
      <alignment horizontal="center" vertical="center" wrapText="1"/>
    </xf>
    <xf numFmtId="0" fontId="10" fillId="7" borderId="2"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justify" vertical="center" wrapText="1"/>
      <protection locked="0"/>
    </xf>
    <xf numFmtId="0" fontId="10" fillId="7" borderId="2" xfId="0" applyFont="1" applyFill="1" applyBorder="1" applyAlignment="1" applyProtection="1">
      <alignment horizontal="justify" vertical="center" wrapText="1"/>
      <protection locked="0"/>
    </xf>
    <xf numFmtId="0" fontId="10" fillId="7" borderId="4" xfId="0" applyFont="1" applyFill="1" applyBorder="1" applyAlignment="1" applyProtection="1">
      <alignment horizontal="justify" vertical="center" wrapText="1"/>
      <protection locked="0"/>
    </xf>
    <xf numFmtId="0" fontId="10" fillId="2" borderId="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justify" vertical="center" wrapText="1"/>
      <protection locked="0"/>
    </xf>
    <xf numFmtId="0" fontId="10" fillId="7" borderId="1" xfId="0" applyFont="1" applyFill="1" applyBorder="1" applyAlignment="1" applyProtection="1">
      <alignment horizontal="center" vertical="center" wrapText="1"/>
      <protection locked="0"/>
    </xf>
    <xf numFmtId="0" fontId="8" fillId="7" borderId="34" xfId="0" applyFont="1" applyFill="1" applyBorder="1" applyAlignment="1" applyProtection="1">
      <alignment horizontal="justify" vertical="center" wrapText="1"/>
      <protection locked="0"/>
    </xf>
    <xf numFmtId="0" fontId="13" fillId="17" borderId="1" xfId="0" applyFont="1" applyFill="1" applyBorder="1" applyAlignment="1" applyProtection="1">
      <alignment horizontal="center" vertical="center" wrapText="1"/>
      <protection locked="0"/>
    </xf>
    <xf numFmtId="0" fontId="13" fillId="17" borderId="34" xfId="0" applyFont="1" applyFill="1" applyBorder="1" applyAlignment="1" applyProtection="1">
      <alignment horizontal="justify" vertical="center" wrapText="1"/>
      <protection locked="0"/>
    </xf>
    <xf numFmtId="0" fontId="8" fillId="7" borderId="1" xfId="0" applyFont="1" applyFill="1" applyBorder="1" applyAlignment="1" applyProtection="1">
      <alignment horizontal="justify" vertical="center" wrapText="1"/>
      <protection locked="0"/>
    </xf>
    <xf numFmtId="0" fontId="13" fillId="17" borderId="1" xfId="0" applyFont="1" applyFill="1" applyBorder="1" applyAlignment="1" applyProtection="1">
      <alignment horizontal="justify" vertical="center" wrapText="1"/>
      <protection locked="0"/>
    </xf>
    <xf numFmtId="0" fontId="10" fillId="24" borderId="41" xfId="0" applyFont="1" applyFill="1" applyBorder="1" applyAlignment="1">
      <alignment horizontal="justify" vertical="center" wrapText="1"/>
    </xf>
    <xf numFmtId="3" fontId="10" fillId="17" borderId="1" xfId="0" applyNumberFormat="1" applyFont="1" applyFill="1" applyBorder="1" applyAlignment="1" applyProtection="1">
      <alignment horizontal="center" vertical="center" wrapText="1"/>
      <protection locked="0"/>
    </xf>
    <xf numFmtId="0" fontId="10" fillId="17" borderId="1" xfId="0" applyFont="1" applyFill="1" applyBorder="1" applyAlignment="1" applyProtection="1">
      <alignment horizontal="justify" vertical="center"/>
      <protection locked="0"/>
    </xf>
    <xf numFmtId="0" fontId="10" fillId="17" borderId="1" xfId="0" applyFont="1" applyFill="1" applyBorder="1" applyAlignment="1" applyProtection="1">
      <alignment horizontal="justify" vertical="center" wrapText="1"/>
      <protection locked="0"/>
    </xf>
    <xf numFmtId="0" fontId="10" fillId="17" borderId="1" xfId="0" applyFont="1" applyFill="1" applyBorder="1" applyAlignment="1" applyProtection="1">
      <alignment horizontal="center" vertical="center" wrapText="1"/>
      <protection locked="0"/>
    </xf>
    <xf numFmtId="0" fontId="8" fillId="17" borderId="2" xfId="10" applyFont="1" applyFill="1" applyBorder="1" applyAlignment="1" applyProtection="1">
      <alignment horizontal="justify" vertical="center" wrapText="1"/>
      <protection locked="0"/>
    </xf>
    <xf numFmtId="3" fontId="8" fillId="17" borderId="2" xfId="1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justify" vertical="center"/>
      <protection locked="0"/>
    </xf>
    <xf numFmtId="3" fontId="10" fillId="0" borderId="1" xfId="0" applyNumberFormat="1" applyFont="1" applyBorder="1" applyAlignment="1" applyProtection="1">
      <alignment horizontal="center" vertical="center" wrapText="1"/>
      <protection locked="0"/>
    </xf>
    <xf numFmtId="0" fontId="8" fillId="2" borderId="1" xfId="0" applyFont="1" applyFill="1" applyBorder="1" applyAlignment="1" applyProtection="1">
      <alignment horizontal="justify" vertical="center" wrapText="1"/>
      <protection locked="0"/>
    </xf>
    <xf numFmtId="9" fontId="8" fillId="2" borderId="2" xfId="0" applyNumberFormat="1" applyFont="1" applyFill="1" applyBorder="1" applyAlignment="1" applyProtection="1">
      <alignment horizontal="center" vertical="center" wrapText="1"/>
      <protection locked="0"/>
    </xf>
    <xf numFmtId="0" fontId="10" fillId="17" borderId="1" xfId="0" applyFont="1" applyFill="1" applyBorder="1" applyAlignment="1">
      <alignment horizontal="justify" vertical="center" wrapText="1"/>
    </xf>
    <xf numFmtId="9" fontId="13" fillId="17" borderId="1" xfId="0" applyNumberFormat="1" applyFont="1" applyFill="1" applyBorder="1" applyAlignment="1" applyProtection="1">
      <alignment horizontal="left" vertical="center" wrapText="1"/>
      <protection locked="0"/>
    </xf>
    <xf numFmtId="0" fontId="10" fillId="17" borderId="4" xfId="0" applyFont="1" applyFill="1" applyBorder="1" applyAlignment="1" applyProtection="1">
      <alignment horizontal="justify" vertical="center" wrapText="1"/>
      <protection locked="0"/>
    </xf>
    <xf numFmtId="0" fontId="8" fillId="7"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1"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5" xfId="0" applyFont="1" applyBorder="1" applyAlignment="1" applyProtection="1">
      <alignment vertical="center" wrapText="1"/>
      <protection locked="0"/>
    </xf>
    <xf numFmtId="9" fontId="10" fillId="7"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wrapText="1"/>
    </xf>
    <xf numFmtId="1" fontId="8" fillId="7" borderId="1"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1" fontId="13" fillId="17" borderId="1" xfId="0" applyNumberFormat="1" applyFont="1" applyFill="1" applyBorder="1" applyAlignment="1">
      <alignment horizontal="center" vertical="center" wrapText="1"/>
    </xf>
    <xf numFmtId="0" fontId="13" fillId="17" borderId="2"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pplyProtection="1">
      <alignment vertical="center" wrapText="1"/>
      <protection locked="0"/>
    </xf>
    <xf numFmtId="0" fontId="10" fillId="0" borderId="4" xfId="0" applyFont="1" applyBorder="1" applyAlignment="1">
      <alignment horizontal="center" vertical="center" wrapText="1"/>
    </xf>
    <xf numFmtId="0" fontId="8" fillId="0" borderId="5" xfId="0" applyFont="1" applyBorder="1" applyAlignment="1" applyProtection="1">
      <alignment horizontal="justify" vertical="center" wrapText="1"/>
      <protection locked="0"/>
    </xf>
    <xf numFmtId="0" fontId="10" fillId="7" borderId="2" xfId="0" applyFont="1" applyFill="1" applyBorder="1" applyAlignment="1">
      <alignment horizontal="justify" vertical="center" wrapText="1"/>
    </xf>
    <xf numFmtId="0" fontId="10" fillId="0" borderId="1" xfId="0" applyFont="1" applyBorder="1" applyAlignment="1" applyProtection="1">
      <alignment horizontal="center" vertical="center"/>
      <protection locked="0"/>
    </xf>
    <xf numFmtId="9" fontId="8" fillId="0" borderId="1" xfId="1" applyFont="1" applyFill="1" applyBorder="1" applyAlignment="1" applyProtection="1">
      <alignment horizontal="center" vertical="center" wrapText="1"/>
      <protection locked="0"/>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pplyProtection="1">
      <alignment horizontal="justify" vertical="center"/>
      <protection locked="0"/>
    </xf>
    <xf numFmtId="9" fontId="10" fillId="7" borderId="3" xfId="1" applyFont="1" applyFill="1" applyBorder="1" applyAlignment="1" applyProtection="1">
      <alignment horizontal="center" vertical="center" wrapText="1"/>
    </xf>
    <xf numFmtId="0" fontId="10" fillId="0" borderId="2" xfId="0" applyFont="1" applyBorder="1" applyAlignment="1" applyProtection="1">
      <alignment horizontal="justify" vertical="center" wrapText="1"/>
      <protection locked="0"/>
    </xf>
    <xf numFmtId="0" fontId="10" fillId="0" borderId="2" xfId="0" applyFont="1" applyBorder="1" applyAlignment="1">
      <alignment horizontal="center" vertical="center" wrapText="1"/>
    </xf>
    <xf numFmtId="9" fontId="10" fillId="0" borderId="35" xfId="0" applyNumberFormat="1" applyFont="1" applyBorder="1" applyAlignment="1" applyProtection="1">
      <alignment horizontal="center" vertical="center" wrapText="1"/>
      <protection locked="0"/>
    </xf>
    <xf numFmtId="0" fontId="10" fillId="0" borderId="35" xfId="0" applyFont="1" applyBorder="1" applyAlignment="1" applyProtection="1">
      <alignment horizontal="justify" vertical="center" wrapText="1"/>
      <protection locked="0"/>
    </xf>
    <xf numFmtId="9" fontId="10" fillId="0" borderId="1" xfId="0" applyNumberFormat="1" applyFont="1" applyBorder="1" applyAlignment="1" applyProtection="1">
      <alignment horizontal="justify" vertical="center" wrapText="1"/>
      <protection locked="0"/>
    </xf>
    <xf numFmtId="9" fontId="10" fillId="0" borderId="35"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9" fontId="10" fillId="0" borderId="7" xfId="0" applyNumberFormat="1" applyFont="1" applyBorder="1" applyAlignment="1" applyProtection="1">
      <alignment horizontal="center" vertical="center" wrapText="1"/>
      <protection locked="0"/>
    </xf>
    <xf numFmtId="9" fontId="10" fillId="0" borderId="7" xfId="0" applyNumberFormat="1" applyFont="1" applyBorder="1" applyAlignment="1">
      <alignment horizontal="center" vertical="center" wrapText="1"/>
    </xf>
    <xf numFmtId="9" fontId="27" fillId="0" borderId="5" xfId="0" applyNumberFormat="1" applyFont="1" applyBorder="1" applyAlignment="1" applyProtection="1">
      <alignment horizontal="justify" vertical="center" wrapText="1"/>
      <protection locked="0"/>
    </xf>
    <xf numFmtId="0" fontId="28" fillId="0" borderId="5" xfId="0" applyFont="1" applyBorder="1" applyAlignment="1" applyProtection="1">
      <alignment vertical="center" wrapText="1"/>
      <protection locked="0"/>
    </xf>
    <xf numFmtId="0" fontId="28" fillId="0" borderId="5" xfId="0" applyFont="1" applyBorder="1" applyAlignment="1" applyProtection="1">
      <alignment horizontal="justify" vertical="center" wrapText="1"/>
      <protection locked="0"/>
    </xf>
    <xf numFmtId="0" fontId="10" fillId="17"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justify" vertical="center"/>
    </xf>
    <xf numFmtId="9" fontId="10" fillId="0" borderId="41" xfId="0" applyNumberFormat="1" applyFont="1" applyBorder="1" applyAlignment="1">
      <alignment horizontal="center" vertical="center" wrapText="1"/>
    </xf>
    <xf numFmtId="0" fontId="10" fillId="0" borderId="41" xfId="0" applyFont="1" applyBorder="1" applyAlignment="1">
      <alignment horizontal="left" vertical="center" wrapText="1"/>
    </xf>
    <xf numFmtId="0" fontId="10" fillId="0" borderId="41" xfId="0" applyFont="1" applyBorder="1" applyAlignment="1">
      <alignment horizontal="center" vertical="center" wrapText="1"/>
    </xf>
    <xf numFmtId="9" fontId="37" fillId="0" borderId="41" xfId="0" applyNumberFormat="1" applyFont="1" applyBorder="1" applyAlignment="1">
      <alignment horizontal="center" vertical="center" wrapText="1"/>
    </xf>
    <xf numFmtId="0" fontId="37" fillId="22" borderId="36" xfId="0" applyFont="1" applyFill="1" applyBorder="1" applyAlignment="1">
      <alignment horizontal="center" vertical="center" wrapText="1"/>
    </xf>
    <xf numFmtId="0" fontId="37" fillId="23" borderId="36" xfId="0" applyFont="1" applyFill="1" applyBorder="1" applyAlignment="1">
      <alignment horizontal="center" vertical="center" wrapText="1"/>
    </xf>
    <xf numFmtId="0" fontId="8" fillId="0" borderId="6" xfId="0" applyFont="1" applyBorder="1" applyAlignment="1" applyProtection="1">
      <alignment vertical="center" wrapText="1"/>
      <protection locked="0"/>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29" fillId="0" borderId="51" xfId="0" applyFont="1" applyBorder="1" applyAlignment="1">
      <alignment horizontal="left" vertical="center" wrapText="1"/>
    </xf>
    <xf numFmtId="0" fontId="8" fillId="17" borderId="2" xfId="10" applyFont="1" applyFill="1" applyBorder="1" applyAlignment="1" applyProtection="1">
      <alignment horizontal="center" vertical="center" wrapText="1"/>
      <protection locked="0"/>
    </xf>
    <xf numFmtId="0" fontId="8" fillId="17" borderId="2" xfId="10" applyFont="1" applyFill="1" applyBorder="1" applyAlignment="1">
      <alignment horizontal="center" vertical="center" wrapText="1"/>
    </xf>
    <xf numFmtId="0" fontId="29" fillId="0" borderId="0" xfId="0" applyFont="1" applyAlignment="1">
      <alignment horizontal="left" vertical="center" wrapText="1"/>
    </xf>
    <xf numFmtId="0" fontId="0" fillId="0" borderId="6" xfId="0" applyBorder="1" applyProtection="1">
      <protection locked="0"/>
    </xf>
    <xf numFmtId="0" fontId="37" fillId="19" borderId="1" xfId="0" applyFont="1" applyFill="1" applyBorder="1" applyAlignment="1">
      <alignment horizontal="center" vertical="center" wrapText="1"/>
    </xf>
    <xf numFmtId="0" fontId="37" fillId="19" borderId="1" xfId="0" applyFont="1" applyFill="1" applyBorder="1" applyAlignment="1">
      <alignment horizontal="justify" vertical="center" wrapText="1"/>
    </xf>
    <xf numFmtId="9" fontId="37" fillId="20" borderId="1" xfId="0" applyNumberFormat="1" applyFont="1" applyFill="1" applyBorder="1" applyAlignment="1">
      <alignment horizontal="center" vertical="center" wrapText="1"/>
    </xf>
    <xf numFmtId="0" fontId="37" fillId="20" borderId="1" xfId="0" applyFont="1" applyFill="1" applyBorder="1" applyAlignment="1">
      <alignment horizontal="justify" vertical="center" wrapText="1"/>
    </xf>
    <xf numFmtId="0" fontId="37" fillId="20" borderId="1" xfId="0" applyFont="1" applyFill="1" applyBorder="1" applyAlignment="1">
      <alignment horizontal="center" vertical="center" wrapText="1"/>
    </xf>
    <xf numFmtId="9" fontId="37" fillId="19" borderId="1" xfId="0" applyNumberFormat="1" applyFont="1" applyFill="1" applyBorder="1" applyAlignment="1">
      <alignment horizontal="center" vertical="center" wrapText="1"/>
    </xf>
    <xf numFmtId="0" fontId="29" fillId="19" borderId="51" xfId="0" applyFont="1" applyFill="1" applyBorder="1" applyAlignment="1">
      <alignment horizontal="justify" vertical="center" wrapText="1"/>
    </xf>
    <xf numFmtId="0" fontId="10" fillId="7" borderId="3" xfId="0" applyFont="1" applyFill="1" applyBorder="1" applyAlignment="1">
      <alignment horizontal="center" vertical="center" wrapText="1"/>
    </xf>
    <xf numFmtId="0" fontId="10" fillId="7" borderId="3" xfId="0" applyFont="1" applyFill="1" applyBorder="1" applyAlignment="1">
      <alignment horizontal="center" vertical="center"/>
    </xf>
    <xf numFmtId="0" fontId="10" fillId="7" borderId="43" xfId="0" applyFont="1" applyFill="1" applyBorder="1" applyAlignment="1">
      <alignment horizontal="justify" vertical="center" wrapText="1"/>
    </xf>
    <xf numFmtId="0" fontId="10" fillId="7" borderId="3" xfId="0" applyFont="1" applyFill="1" applyBorder="1" applyAlignment="1" applyProtection="1">
      <alignment horizontal="center" vertical="center"/>
      <protection locked="0"/>
    </xf>
    <xf numFmtId="0" fontId="37" fillId="7" borderId="4" xfId="0" applyFont="1" applyFill="1" applyBorder="1" applyAlignment="1">
      <alignment horizontal="justify" vertical="center" wrapText="1"/>
    </xf>
    <xf numFmtId="9" fontId="37" fillId="7" borderId="4" xfId="0" applyNumberFormat="1" applyFont="1" applyFill="1" applyBorder="1" applyAlignment="1">
      <alignment horizontal="center" vertical="center" wrapText="1"/>
    </xf>
    <xf numFmtId="0" fontId="37" fillId="7" borderId="52"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10" fillId="2" borderId="0" xfId="0" applyFont="1" applyFill="1" applyAlignment="1">
      <alignment horizontal="center" vertical="center" wrapText="1"/>
    </xf>
    <xf numFmtId="1" fontId="10" fillId="7" borderId="1" xfId="0" applyNumberFormat="1" applyFont="1" applyFill="1" applyBorder="1" applyAlignment="1">
      <alignment horizontal="center" vertical="center" wrapText="1"/>
    </xf>
    <xf numFmtId="9" fontId="10" fillId="7" borderId="1" xfId="0" applyNumberFormat="1" applyFont="1" applyFill="1" applyBorder="1" applyAlignment="1">
      <alignment horizontal="justify" vertical="center" wrapText="1"/>
    </xf>
    <xf numFmtId="9"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9" fontId="10" fillId="7" borderId="2" xfId="0" applyNumberFormat="1"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9" fontId="8" fillId="2" borderId="1" xfId="0" applyNumberFormat="1" applyFont="1" applyFill="1" applyBorder="1" applyAlignment="1" applyProtection="1">
      <alignment horizontal="center" vertical="center" wrapText="1"/>
      <protection locked="0"/>
    </xf>
    <xf numFmtId="9" fontId="8" fillId="2" borderId="1" xfId="1" applyFont="1" applyFill="1" applyBorder="1" applyAlignment="1" applyProtection="1">
      <alignment horizontal="center" vertical="center" wrapText="1"/>
      <protection locked="0"/>
    </xf>
    <xf numFmtId="0" fontId="28" fillId="2" borderId="5" xfId="0" applyFont="1" applyFill="1" applyBorder="1" applyAlignment="1">
      <alignment horizontal="center" vertical="center" wrapText="1"/>
    </xf>
    <xf numFmtId="9" fontId="10" fillId="7" borderId="2" xfId="0" applyNumberFormat="1" applyFont="1" applyFill="1" applyBorder="1" applyAlignment="1">
      <alignment horizontal="left" vertical="center" wrapText="1"/>
    </xf>
    <xf numFmtId="3" fontId="8" fillId="7" borderId="1" xfId="0" applyNumberFormat="1" applyFont="1" applyFill="1" applyBorder="1" applyAlignment="1" applyProtection="1">
      <alignment horizontal="center" vertical="center" wrapText="1"/>
      <protection locked="0"/>
    </xf>
    <xf numFmtId="3" fontId="13" fillId="17" borderId="1" xfId="0" applyNumberFormat="1" applyFont="1" applyFill="1" applyBorder="1" applyAlignment="1" applyProtection="1">
      <alignment horizontal="center" vertical="center" wrapText="1"/>
      <protection locked="0"/>
    </xf>
    <xf numFmtId="9" fontId="10" fillId="2" borderId="1"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0" xfId="0" applyAlignment="1" applyProtection="1">
      <alignment horizontal="center"/>
      <protection locked="0"/>
    </xf>
    <xf numFmtId="0" fontId="0" fillId="0" borderId="0" xfId="0" applyAlignment="1" applyProtection="1">
      <alignment vertical="center"/>
      <protection locked="0"/>
    </xf>
    <xf numFmtId="0" fontId="10" fillId="7" borderId="1"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44" fontId="44" fillId="0" borderId="1" xfId="4" applyFont="1" applyBorder="1" applyAlignment="1">
      <alignment horizontal="center" vertical="center"/>
    </xf>
    <xf numFmtId="44" fontId="44" fillId="2" borderId="1" xfId="4" applyFont="1" applyFill="1" applyBorder="1" applyAlignment="1">
      <alignment horizontal="center" vertical="center"/>
    </xf>
    <xf numFmtId="167" fontId="12" fillId="3" borderId="1" xfId="0" applyNumberFormat="1" applyFont="1"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center" vertical="center" wrapText="1"/>
    </xf>
    <xf numFmtId="42" fontId="10" fillId="7" borderId="1" xfId="22" applyFont="1" applyFill="1" applyBorder="1" applyAlignment="1" applyProtection="1">
      <alignment horizontal="left" vertical="center" wrapText="1"/>
      <protection locked="0"/>
    </xf>
    <xf numFmtId="0" fontId="0" fillId="0" borderId="0" xfId="0" applyAlignment="1">
      <alignment horizontal="center"/>
    </xf>
    <xf numFmtId="0" fontId="0" fillId="0" borderId="1" xfId="0" applyBorder="1" applyAlignment="1">
      <alignment horizontal="center"/>
    </xf>
    <xf numFmtId="167" fontId="0" fillId="2" borderId="1" xfId="0" applyNumberFormat="1" applyFill="1" applyBorder="1" applyAlignment="1">
      <alignment vertical="center"/>
    </xf>
    <xf numFmtId="0" fontId="45" fillId="0" borderId="0" xfId="0" applyFont="1" applyAlignment="1">
      <alignment vertical="center" wrapText="1"/>
    </xf>
    <xf numFmtId="0" fontId="0" fillId="0" borderId="0" xfId="0" applyAlignment="1">
      <alignment horizontal="justify" vertical="center" wrapText="1"/>
    </xf>
    <xf numFmtId="0" fontId="8" fillId="0" borderId="53" xfId="0" applyFont="1" applyBorder="1" applyAlignment="1">
      <alignment horizontal="left" vertical="center" wrapText="1"/>
    </xf>
    <xf numFmtId="0" fontId="8" fillId="0" borderId="53" xfId="0" applyFont="1" applyBorder="1" applyAlignment="1">
      <alignment horizontal="left"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54" xfId="0" applyFont="1" applyBorder="1" applyAlignment="1">
      <alignment horizontal="center" vertical="center"/>
    </xf>
    <xf numFmtId="0" fontId="23" fillId="0" borderId="0" xfId="0" applyFont="1" applyAlignment="1">
      <alignment horizontal="right" vertical="center"/>
    </xf>
    <xf numFmtId="0" fontId="42" fillId="4" borderId="4" xfId="0" applyFont="1" applyFill="1" applyBorder="1" applyAlignment="1">
      <alignment horizontal="center" vertical="center"/>
    </xf>
    <xf numFmtId="171" fontId="42" fillId="4" borderId="4" xfId="4" applyNumberFormat="1" applyFont="1" applyFill="1" applyBorder="1" applyAlignment="1">
      <alignment horizontal="center" vertical="center"/>
    </xf>
    <xf numFmtId="0" fontId="7" fillId="0" borderId="0" xfId="0" applyFont="1" applyAlignment="1">
      <alignment vertical="center"/>
    </xf>
    <xf numFmtId="167" fontId="0" fillId="0" borderId="0" xfId="0" applyNumberFormat="1"/>
    <xf numFmtId="167" fontId="12" fillId="3" borderId="1" xfId="0" applyNumberFormat="1" applyFont="1" applyFill="1" applyBorder="1" applyAlignment="1">
      <alignment horizontal="center" vertical="center"/>
    </xf>
    <xf numFmtId="44" fontId="46" fillId="0" borderId="1" xfId="4" applyFont="1" applyBorder="1" applyAlignment="1">
      <alignment vertical="center"/>
    </xf>
    <xf numFmtId="44" fontId="46" fillId="0" borderId="53" xfId="4" applyFont="1" applyBorder="1" applyAlignment="1">
      <alignment vertical="center"/>
    </xf>
    <xf numFmtId="44" fontId="44" fillId="4" borderId="4" xfId="4"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justify"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 xfId="0" applyFont="1" applyBorder="1" applyAlignment="1" applyProtection="1">
      <alignment horizontal="justify" vertical="center" wrapText="1"/>
      <protection locked="0"/>
    </xf>
    <xf numFmtId="0" fontId="10" fillId="7" borderId="2"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justify" vertical="center" wrapText="1"/>
      <protection locked="0"/>
    </xf>
    <xf numFmtId="0" fontId="10" fillId="7" borderId="4" xfId="0" applyFont="1" applyFill="1" applyBorder="1" applyAlignment="1" applyProtection="1">
      <alignment horizontal="justify" vertical="center" wrapText="1"/>
      <protection locked="0"/>
    </xf>
    <xf numFmtId="0" fontId="10" fillId="2" borderId="2"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justify" vertical="center" wrapText="1"/>
      <protection locked="0"/>
    </xf>
    <xf numFmtId="0" fontId="10" fillId="2" borderId="2"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7" borderId="2" xfId="0" applyFont="1" applyFill="1" applyBorder="1" applyAlignment="1" applyProtection="1">
      <alignment horizontal="center" vertical="center" wrapText="1"/>
    </xf>
    <xf numFmtId="0" fontId="10" fillId="7" borderId="3"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7" borderId="2" xfId="0" applyFont="1" applyFill="1" applyBorder="1" applyAlignment="1" applyProtection="1">
      <alignment horizontal="justify" vertical="center" wrapText="1"/>
    </xf>
    <xf numFmtId="0" fontId="10" fillId="0" borderId="2" xfId="0" applyFont="1" applyFill="1" applyBorder="1" applyAlignment="1" applyProtection="1">
      <alignment horizontal="justify" vertical="center" wrapText="1"/>
      <protection locked="0"/>
    </xf>
    <xf numFmtId="0" fontId="10" fillId="0" borderId="1" xfId="0" applyFont="1" applyBorder="1" applyAlignment="1">
      <alignment horizontal="justify" vertical="center"/>
    </xf>
    <xf numFmtId="0" fontId="10" fillId="0" borderId="1" xfId="0" applyFont="1" applyBorder="1" applyAlignment="1" applyProtection="1">
      <alignment horizontal="center" vertical="center"/>
      <protection locked="0"/>
    </xf>
    <xf numFmtId="167" fontId="12"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0" fillId="7" borderId="34" xfId="0" applyFont="1" applyFill="1" applyBorder="1" applyAlignment="1" applyProtection="1">
      <alignment horizontal="justify" vertical="center" wrapText="1"/>
      <protection locked="0"/>
    </xf>
    <xf numFmtId="44" fontId="10" fillId="7" borderId="1" xfId="0" applyNumberFormat="1" applyFont="1" applyFill="1" applyBorder="1" applyAlignment="1">
      <alignment horizontal="justify" vertical="center"/>
    </xf>
    <xf numFmtId="0" fontId="10" fillId="2" borderId="1" xfId="0" applyFont="1" applyFill="1" applyBorder="1" applyAlignment="1">
      <alignment horizontal="justify" vertical="center"/>
    </xf>
    <xf numFmtId="44" fontId="7" fillId="2" borderId="1" xfId="3" applyNumberFormat="1" applyFont="1" applyFill="1" applyBorder="1" applyAlignment="1">
      <alignment vertical="center"/>
    </xf>
    <xf numFmtId="44" fontId="7" fillId="0" borderId="1" xfId="3" applyNumberFormat="1" applyFont="1" applyFill="1" applyBorder="1" applyAlignment="1">
      <alignment vertical="center"/>
    </xf>
    <xf numFmtId="44" fontId="10" fillId="2" borderId="4" xfId="3" applyNumberFormat="1" applyFont="1" applyFill="1" applyBorder="1" applyAlignment="1">
      <alignment vertical="center"/>
    </xf>
    <xf numFmtId="0" fontId="10" fillId="23" borderId="41" xfId="0" applyFont="1" applyFill="1" applyBorder="1" applyAlignment="1">
      <alignment horizontal="justify" vertical="center" wrapText="1"/>
    </xf>
    <xf numFmtId="0" fontId="10" fillId="7" borderId="1" xfId="0" applyFont="1" applyFill="1" applyBorder="1" applyAlignment="1" applyProtection="1">
      <alignment horizontal="justify" vertical="center"/>
      <protection locked="0"/>
    </xf>
    <xf numFmtId="3" fontId="10" fillId="7" borderId="1" xfId="0" applyNumberFormat="1" applyFont="1" applyFill="1" applyBorder="1" applyAlignment="1" applyProtection="1">
      <alignment horizontal="center" vertical="center" wrapText="1"/>
      <protection locked="0"/>
    </xf>
    <xf numFmtId="0" fontId="8" fillId="2" borderId="2" xfId="10" applyFont="1" applyFill="1" applyBorder="1" applyAlignment="1" applyProtection="1">
      <alignment horizontal="justify" vertical="center" wrapText="1"/>
      <protection locked="0"/>
    </xf>
    <xf numFmtId="0" fontId="37" fillId="2" borderId="1" xfId="0" applyFont="1" applyFill="1" applyBorder="1" applyAlignment="1">
      <alignment horizontal="center" vertical="center"/>
    </xf>
    <xf numFmtId="1" fontId="10" fillId="7" borderId="1" xfId="0" applyNumberFormat="1" applyFont="1" applyFill="1" applyBorder="1" applyAlignment="1" applyProtection="1">
      <alignment horizontal="center" vertical="center" wrapText="1"/>
      <protection locked="0"/>
    </xf>
    <xf numFmtId="3" fontId="10" fillId="2" borderId="2" xfId="10" applyNumberFormat="1" applyFont="1" applyFill="1" applyBorder="1" applyAlignment="1" applyProtection="1">
      <alignment horizontal="center" vertical="center" wrapText="1"/>
      <protection locked="0"/>
    </xf>
    <xf numFmtId="0" fontId="10" fillId="2" borderId="1" xfId="0" applyFont="1" applyFill="1" applyBorder="1" applyAlignment="1">
      <alignment horizontal="justify" wrapText="1"/>
    </xf>
    <xf numFmtId="0" fontId="21" fillId="0" borderId="1" xfId="0" applyFont="1" applyBorder="1" applyAlignment="1">
      <alignment horizontal="center"/>
    </xf>
    <xf numFmtId="167" fontId="21" fillId="2" borderId="1" xfId="0" applyNumberFormat="1" applyFont="1" applyFill="1" applyBorder="1" applyAlignment="1">
      <alignment vertical="center"/>
    </xf>
    <xf numFmtId="167" fontId="0" fillId="2" borderId="1" xfId="4" applyNumberFormat="1" applyFont="1" applyFill="1" applyBorder="1" applyAlignment="1">
      <alignment vertical="center"/>
    </xf>
    <xf numFmtId="167" fontId="0" fillId="0" borderId="1" xfId="4" applyNumberFormat="1" applyFont="1" applyBorder="1"/>
    <xf numFmtId="167" fontId="0" fillId="0" borderId="1" xfId="4" applyNumberFormat="1" applyFont="1" applyFill="1" applyBorder="1" applyAlignment="1">
      <alignment vertical="center"/>
    </xf>
    <xf numFmtId="167" fontId="21" fillId="2" borderId="1" xfId="4" applyNumberFormat="1" applyFont="1" applyFill="1" applyBorder="1" applyAlignment="1">
      <alignment vertical="center"/>
    </xf>
    <xf numFmtId="167" fontId="12"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5" fillId="0" borderId="0" xfId="0" applyFont="1" applyBorder="1" applyAlignment="1">
      <alignment horizontal="justify" vertical="center" wrapText="1"/>
    </xf>
    <xf numFmtId="0" fontId="21" fillId="0" borderId="1" xfId="0" applyFont="1" applyBorder="1" applyAlignment="1">
      <alignment horizontal="center" vertical="center"/>
    </xf>
    <xf numFmtId="0" fontId="12" fillId="0" borderId="0" xfId="0" applyFont="1" applyFill="1" applyBorder="1" applyAlignment="1">
      <alignment horizontal="center" vertical="center"/>
    </xf>
    <xf numFmtId="0" fontId="0" fillId="0" borderId="23" xfId="0" applyBorder="1" applyAlignment="1">
      <alignment vertical="center"/>
    </xf>
    <xf numFmtId="0" fontId="10" fillId="6" borderId="1" xfId="0" applyFont="1" applyFill="1" applyBorder="1" applyAlignment="1">
      <alignment horizontal="justify"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6" borderId="2" xfId="0" applyFont="1" applyFill="1" applyBorder="1" applyAlignment="1" applyProtection="1">
      <alignment horizontal="center" vertical="center" wrapText="1"/>
    </xf>
    <xf numFmtId="0" fontId="36" fillId="6" borderId="3" xfId="0" applyFont="1" applyFill="1" applyBorder="1" applyAlignment="1" applyProtection="1">
      <alignment horizontal="center" vertical="center" wrapText="1"/>
    </xf>
    <xf numFmtId="0" fontId="36" fillId="6" borderId="4" xfId="0" applyFont="1" applyFill="1" applyBorder="1" applyAlignment="1" applyProtection="1">
      <alignment horizontal="center" vertical="center" wrapText="1"/>
    </xf>
    <xf numFmtId="0" fontId="36" fillId="0" borderId="2"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36" fillId="0" borderId="4" xfId="0" applyFont="1" applyFill="1" applyBorder="1" applyAlignment="1" applyProtection="1">
      <alignment horizontal="center" vertical="center" wrapText="1"/>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6"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6" borderId="1" xfId="0" applyFont="1" applyFill="1" applyBorder="1" applyAlignment="1" applyProtection="1">
      <alignment horizontal="center" vertical="center" wrapText="1"/>
    </xf>
    <xf numFmtId="0" fontId="10" fillId="6" borderId="1" xfId="0" applyFont="1" applyFill="1" applyBorder="1" applyAlignment="1" applyProtection="1">
      <alignment horizontal="justify"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0" fontId="10" fillId="6" borderId="1" xfId="0" applyFont="1" applyFill="1" applyBorder="1" applyAlignment="1">
      <alignment horizontal="center" vertical="center"/>
    </xf>
    <xf numFmtId="0" fontId="36" fillId="6" borderId="1" xfId="0" applyFont="1" applyFill="1" applyBorder="1" applyAlignment="1">
      <alignment horizontal="justify"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21" fillId="9" borderId="1" xfId="0" applyFont="1" applyFill="1" applyBorder="1" applyAlignment="1">
      <alignment horizontal="center" vertical="center" wrapText="1"/>
    </xf>
    <xf numFmtId="0" fontId="21" fillId="9" borderId="5" xfId="0" applyFont="1" applyFill="1" applyBorder="1" applyAlignment="1">
      <alignment horizontal="center" vertical="center"/>
    </xf>
    <xf numFmtId="0" fontId="21" fillId="9" borderId="7" xfId="0" applyFont="1" applyFill="1" applyBorder="1" applyAlignment="1">
      <alignment horizontal="center" vertical="center"/>
    </xf>
    <xf numFmtId="0" fontId="36" fillId="6" borderId="1" xfId="0" applyFont="1" applyFill="1" applyBorder="1" applyAlignment="1" applyProtection="1">
      <alignment horizontal="center" vertical="center" wrapText="1"/>
    </xf>
    <xf numFmtId="0" fontId="36" fillId="6" borderId="1" xfId="0" applyFont="1" applyFill="1" applyBorder="1" applyAlignment="1" applyProtection="1">
      <alignment horizontal="justify"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justify" vertical="center" wrapText="1"/>
    </xf>
    <xf numFmtId="0" fontId="10" fillId="6" borderId="1" xfId="0" applyFont="1" applyFill="1" applyBorder="1" applyAlignment="1">
      <alignment horizontal="justify" vertical="center"/>
    </xf>
    <xf numFmtId="0" fontId="2" fillId="3"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36"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justify"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justify" vertical="center"/>
    </xf>
    <xf numFmtId="0" fontId="36" fillId="6" borderId="1"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9" xfId="0" applyBorder="1" applyAlignment="1">
      <alignment horizontal="justify" vertical="center"/>
    </xf>
    <xf numFmtId="0" fontId="0" fillId="0" borderId="4" xfId="0" applyBorder="1" applyAlignment="1">
      <alignment horizontal="justify" vertical="center"/>
    </xf>
    <xf numFmtId="0" fontId="0" fillId="2" borderId="2" xfId="0" applyFill="1" applyBorder="1" applyAlignment="1">
      <alignment horizontal="justify" vertical="center"/>
    </xf>
    <xf numFmtId="0" fontId="0" fillId="2" borderId="4" xfId="0" applyFill="1" applyBorder="1" applyAlignment="1">
      <alignment horizontal="justify" vertic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4" fillId="0" borderId="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6" borderId="2" xfId="0" applyFill="1" applyBorder="1" applyAlignment="1">
      <alignment horizontal="justify" vertical="center"/>
    </xf>
    <xf numFmtId="0" fontId="0" fillId="6" borderId="4" xfId="0" applyFill="1" applyBorder="1" applyAlignment="1">
      <alignment horizontal="justify" vertical="center"/>
    </xf>
    <xf numFmtId="0" fontId="0" fillId="0" borderId="2" xfId="0" applyBorder="1" applyAlignment="1">
      <alignment horizontal="justify" vertical="center"/>
    </xf>
    <xf numFmtId="0" fontId="4" fillId="0" borderId="20" xfId="0" applyFont="1" applyBorder="1" applyAlignment="1">
      <alignment horizontal="center" vertical="center" wrapText="1"/>
    </xf>
    <xf numFmtId="0" fontId="0" fillId="0" borderId="12" xfId="0" applyBorder="1" applyAlignment="1">
      <alignment horizontal="justify" vertical="center"/>
    </xf>
    <xf numFmtId="0" fontId="10" fillId="0"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justify" vertical="center" wrapText="1"/>
    </xf>
    <xf numFmtId="0" fontId="0" fillId="6" borderId="2" xfId="0" applyFill="1" applyBorder="1" applyAlignment="1">
      <alignment vertical="center"/>
    </xf>
    <xf numFmtId="0" fontId="0" fillId="6" borderId="4" xfId="0" applyFill="1" applyBorder="1" applyAlignment="1">
      <alignment vertical="center"/>
    </xf>
    <xf numFmtId="0" fontId="4" fillId="9" borderId="27" xfId="0" applyFont="1" applyFill="1" applyBorder="1" applyAlignment="1">
      <alignment horizontal="center" vertical="center" wrapText="1"/>
    </xf>
    <xf numFmtId="0" fontId="4" fillId="9" borderId="34" xfId="0" applyFont="1" applyFill="1" applyBorder="1" applyAlignment="1">
      <alignment horizontal="center" vertical="center"/>
    </xf>
    <xf numFmtId="0" fontId="4" fillId="9" borderId="3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2" fillId="3"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2" xfId="0" applyFont="1" applyFill="1" applyBorder="1" applyAlignment="1">
      <alignment horizontal="justify" vertical="center" wrapText="1"/>
    </xf>
    <xf numFmtId="0" fontId="10" fillId="7" borderId="4" xfId="0" applyFont="1" applyFill="1" applyBorder="1" applyAlignment="1">
      <alignment horizontal="justify"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9" fontId="10" fillId="0" borderId="2" xfId="1" applyFont="1" applyFill="1" applyBorder="1" applyAlignment="1" applyProtection="1">
      <alignment horizontal="center" vertical="center" wrapText="1"/>
      <protection locked="0"/>
    </xf>
    <xf numFmtId="9" fontId="10" fillId="0" borderId="4" xfId="1"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9" fontId="10" fillId="0" borderId="4"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27"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0" fillId="0" borderId="2" xfId="0" applyFont="1" applyBorder="1" applyAlignment="1" applyProtection="1">
      <alignment horizontal="justify" vertical="center" wrapText="1"/>
      <protection locked="0"/>
    </xf>
    <xf numFmtId="0" fontId="10" fillId="0" borderId="4" xfId="0" applyFont="1" applyBorder="1" applyAlignment="1" applyProtection="1">
      <alignment horizontal="justify"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7" borderId="3" xfId="0" applyFont="1" applyFill="1" applyBorder="1" applyAlignment="1">
      <alignment horizontal="center" vertical="center" wrapText="1"/>
    </xf>
    <xf numFmtId="0" fontId="8" fillId="7" borderId="27" xfId="0" applyFont="1" applyFill="1" applyBorder="1" applyAlignment="1" applyProtection="1">
      <alignment horizontal="justify" vertical="center"/>
      <protection locked="0"/>
    </xf>
    <xf numFmtId="0" fontId="8" fillId="7" borderId="43" xfId="0" applyFont="1" applyFill="1" applyBorder="1" applyAlignment="1" applyProtection="1">
      <alignment horizontal="justify" vertical="center"/>
      <protection locked="0"/>
    </xf>
    <xf numFmtId="0" fontId="8" fillId="0" borderId="43" xfId="0" applyFont="1" applyBorder="1" applyAlignment="1" applyProtection="1">
      <alignment horizontal="center" vertical="center" wrapText="1"/>
      <protection locked="0"/>
    </xf>
    <xf numFmtId="0" fontId="10" fillId="7" borderId="3" xfId="0" applyFont="1" applyFill="1" applyBorder="1" applyAlignment="1">
      <alignment horizontal="justify" vertical="center" wrapText="1"/>
    </xf>
    <xf numFmtId="0" fontId="10" fillId="0" borderId="2" xfId="0" applyFont="1" applyBorder="1" applyAlignment="1">
      <alignment horizontal="justify" vertical="center"/>
    </xf>
    <xf numFmtId="0" fontId="10" fillId="0" borderId="3" xfId="0" applyFont="1" applyBorder="1" applyAlignment="1">
      <alignment horizontal="justify"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 xfId="0" applyFont="1" applyBorder="1" applyAlignment="1" applyProtection="1">
      <alignment horizontal="justify" vertical="center" wrapText="1"/>
      <protection locked="0"/>
    </xf>
    <xf numFmtId="0" fontId="10" fillId="7" borderId="2"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0" fillId="7" borderId="47" xfId="0" applyFont="1" applyFill="1" applyBorder="1" applyAlignment="1" applyProtection="1">
      <alignment horizontal="justify" vertical="center" wrapText="1"/>
      <protection locked="0"/>
    </xf>
    <xf numFmtId="0" fontId="10" fillId="7" borderId="48" xfId="0" applyFont="1" applyFill="1" applyBorder="1" applyAlignment="1" applyProtection="1">
      <alignment horizontal="justify" vertical="center" wrapText="1"/>
      <protection locked="0"/>
    </xf>
    <xf numFmtId="0" fontId="10" fillId="7" borderId="49" xfId="0" applyFont="1" applyFill="1" applyBorder="1" applyAlignment="1" applyProtection="1">
      <alignment horizontal="justify" vertical="center" wrapText="1"/>
      <protection locked="0"/>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8" fillId="2" borderId="27" xfId="0" applyFont="1" applyFill="1" applyBorder="1" applyAlignment="1" applyProtection="1">
      <alignment vertical="center" wrapText="1"/>
      <protection locked="0"/>
    </xf>
    <xf numFmtId="0" fontId="28" fillId="2" borderId="26" xfId="0" applyFont="1" applyFill="1" applyBorder="1" applyAlignment="1" applyProtection="1">
      <alignment vertical="center" wrapText="1"/>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justify" vertical="center" wrapText="1"/>
    </xf>
    <xf numFmtId="0" fontId="10" fillId="2" borderId="3" xfId="0" applyFont="1" applyFill="1" applyBorder="1" applyAlignment="1">
      <alignment horizontal="justify" vertical="center" wrapText="1"/>
    </xf>
    <xf numFmtId="0" fontId="10" fillId="2" borderId="4" xfId="0" applyFont="1" applyFill="1" applyBorder="1" applyAlignment="1">
      <alignment horizontal="justify" vertical="center" wrapText="1"/>
    </xf>
    <xf numFmtId="0" fontId="37" fillId="19" borderId="45" xfId="0" applyFont="1" applyFill="1" applyBorder="1" applyAlignment="1">
      <alignment horizontal="justify" vertical="center" wrapText="1"/>
    </xf>
    <xf numFmtId="0" fontId="37" fillId="19" borderId="46" xfId="0" applyFont="1" applyFill="1" applyBorder="1" applyAlignment="1">
      <alignment horizontal="justify"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7" xfId="0" applyFont="1" applyFill="1" applyBorder="1" applyAlignment="1">
      <alignment horizontal="justify" vertical="center" wrapText="1"/>
    </xf>
    <xf numFmtId="0" fontId="10" fillId="2" borderId="43" xfId="0" applyFont="1" applyFill="1" applyBorder="1" applyAlignment="1">
      <alignment horizontal="justify" vertical="center" wrapText="1"/>
    </xf>
    <xf numFmtId="0" fontId="10" fillId="2" borderId="26"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justify" vertical="center" wrapText="1"/>
      <protection locked="0"/>
    </xf>
    <xf numFmtId="0" fontId="10" fillId="7" borderId="4" xfId="0" applyFont="1" applyFill="1" applyBorder="1" applyAlignment="1" applyProtection="1">
      <alignment horizontal="justify" vertical="center" wrapText="1"/>
      <protection locked="0"/>
    </xf>
    <xf numFmtId="0" fontId="10" fillId="2" borderId="3"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justify" vertical="center" wrapText="1"/>
      <protection locked="0"/>
    </xf>
    <xf numFmtId="0" fontId="10" fillId="2" borderId="3"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justify" vertical="center" wrapText="1"/>
      <protection locked="0"/>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8" fillId="2" borderId="2" xfId="0" applyFont="1" applyFill="1" applyBorder="1" applyAlignment="1" applyProtection="1">
      <alignment horizontal="justify" vertical="center" wrapText="1"/>
      <protection locked="0"/>
    </xf>
    <xf numFmtId="0" fontId="8" fillId="2" borderId="4" xfId="0" applyFont="1" applyFill="1" applyBorder="1" applyAlignment="1" applyProtection="1">
      <alignment horizontal="justify" vertical="center" wrapText="1"/>
      <protection locked="0"/>
    </xf>
    <xf numFmtId="0" fontId="8" fillId="2" borderId="27" xfId="0" applyFont="1" applyFill="1" applyBorder="1" applyAlignment="1" applyProtection="1">
      <alignment horizontal="justify" vertical="center" wrapText="1"/>
      <protection locked="0"/>
    </xf>
    <xf numFmtId="0" fontId="8" fillId="2" borderId="26" xfId="0" applyFont="1" applyFill="1" applyBorder="1" applyAlignment="1" applyProtection="1">
      <alignment horizontal="justify" vertical="center" wrapText="1"/>
      <protection locked="0"/>
    </xf>
    <xf numFmtId="0" fontId="8" fillId="2" borderId="5" xfId="0" applyFont="1" applyFill="1" applyBorder="1" applyAlignment="1" applyProtection="1">
      <alignment horizontal="justify" vertical="center" wrapText="1"/>
      <protection locked="0"/>
    </xf>
    <xf numFmtId="0" fontId="10" fillId="7" borderId="3" xfId="0" applyFont="1" applyFill="1" applyBorder="1" applyAlignment="1" applyProtection="1">
      <alignment horizontal="justify" vertical="center" wrapText="1"/>
      <protection locked="0"/>
    </xf>
    <xf numFmtId="0" fontId="10" fillId="7" borderId="2" xfId="0" applyFont="1" applyFill="1" applyBorder="1" applyAlignment="1" applyProtection="1">
      <alignment horizontal="center" vertical="center" wrapText="1"/>
    </xf>
    <xf numFmtId="0" fontId="10" fillId="7" borderId="3" xfId="0" applyFont="1" applyFill="1" applyBorder="1" applyAlignment="1" applyProtection="1">
      <alignment horizontal="center" vertical="center" wrapText="1"/>
    </xf>
    <xf numFmtId="0" fontId="10" fillId="7" borderId="4"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0" fillId="0" borderId="4" xfId="0" applyFont="1" applyBorder="1" applyAlignment="1">
      <alignment horizontal="justify" vertical="center"/>
    </xf>
    <xf numFmtId="0" fontId="10" fillId="0" borderId="4" xfId="0" applyFont="1" applyBorder="1" applyAlignment="1" applyProtection="1">
      <alignment horizontal="center" vertical="center"/>
      <protection locked="0"/>
    </xf>
    <xf numFmtId="0" fontId="10" fillId="0" borderId="2" xfId="0" applyFont="1" applyFill="1" applyBorder="1" applyAlignment="1" applyProtection="1">
      <alignment horizontal="justify" vertical="center" wrapText="1"/>
    </xf>
    <xf numFmtId="0" fontId="10" fillId="0" borderId="4" xfId="0" applyFont="1" applyFill="1" applyBorder="1" applyAlignment="1" applyProtection="1">
      <alignment horizontal="justify" vertical="center" wrapText="1"/>
    </xf>
    <xf numFmtId="0" fontId="10" fillId="0" borderId="2"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167" fontId="12" fillId="3" borderId="1" xfId="0" applyNumberFormat="1" applyFont="1" applyFill="1" applyBorder="1" applyAlignment="1" applyProtection="1">
      <alignment horizontal="center" vertical="center" wrapText="1"/>
    </xf>
    <xf numFmtId="0" fontId="4" fillId="2" borderId="1" xfId="0" applyNumberFormat="1" applyFont="1" applyFill="1" applyBorder="1" applyAlignment="1">
      <alignment horizontal="center" vertical="center"/>
    </xf>
    <xf numFmtId="0" fontId="0" fillId="0" borderId="23" xfId="0" applyBorder="1"/>
    <xf numFmtId="0" fontId="15" fillId="9"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15" fillId="8"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167" fontId="12" fillId="3" borderId="2" xfId="0" applyNumberFormat="1" applyFont="1" applyFill="1" applyBorder="1" applyAlignment="1" applyProtection="1">
      <alignment horizontal="center" vertical="center" wrapText="1"/>
    </xf>
    <xf numFmtId="167" fontId="12" fillId="3" borderId="4"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2"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167" fontId="12" fillId="3"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167" fontId="12" fillId="3" borderId="2" xfId="0" applyNumberFormat="1" applyFont="1" applyFill="1" applyBorder="1" applyAlignment="1">
      <alignment horizontal="center" vertical="center" wrapText="1"/>
    </xf>
    <xf numFmtId="167" fontId="12" fillId="3" borderId="4" xfId="0" applyNumberFormat="1" applyFont="1" applyFill="1" applyBorder="1" applyAlignment="1">
      <alignment horizontal="center" vertical="center" wrapText="1"/>
    </xf>
    <xf numFmtId="0" fontId="8"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45" fillId="0" borderId="5" xfId="0" applyFont="1" applyBorder="1" applyAlignment="1">
      <alignment horizontal="justify" vertical="center" wrapText="1"/>
    </xf>
    <xf numFmtId="0" fontId="45" fillId="0" borderId="7" xfId="0" applyFont="1" applyBorder="1" applyAlignment="1">
      <alignment horizontal="justify" vertical="center" wrapText="1"/>
    </xf>
    <xf numFmtId="0" fontId="45" fillId="0" borderId="1" xfId="0" applyFont="1" applyBorder="1" applyAlignment="1">
      <alignment horizontal="justify" vertical="center" wrapText="1"/>
    </xf>
    <xf numFmtId="0" fontId="12" fillId="3" borderId="1" xfId="0" applyFont="1" applyFill="1" applyBorder="1" applyAlignment="1">
      <alignment horizontal="center" vertical="center"/>
    </xf>
    <xf numFmtId="0" fontId="45" fillId="0" borderId="1" xfId="0" applyFont="1" applyBorder="1" applyAlignment="1">
      <alignment horizontal="justify"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4" fillId="0" borderId="23" xfId="0" applyFont="1" applyBorder="1" applyAlignment="1">
      <alignment horizontal="left" vertical="center"/>
    </xf>
    <xf numFmtId="0" fontId="4" fillId="9" borderId="1"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13" fillId="17" borderId="1" xfId="0" applyFont="1" applyFill="1" applyBorder="1" applyAlignment="1" applyProtection="1">
      <alignment horizontal="justify" vertical="center" wrapText="1"/>
    </xf>
    <xf numFmtId="0" fontId="13" fillId="2" borderId="1" xfId="0" applyFont="1" applyFill="1" applyBorder="1" applyAlignment="1" applyProtection="1">
      <alignment horizontal="justify" vertical="center" wrapText="1"/>
    </xf>
    <xf numFmtId="0" fontId="0" fillId="2" borderId="1" xfId="0" applyFill="1" applyBorder="1" applyAlignment="1" applyProtection="1">
      <alignment horizontal="center" vertical="center" textRotation="90" wrapText="1"/>
    </xf>
    <xf numFmtId="0" fontId="0" fillId="2" borderId="1" xfId="0" applyFont="1" applyFill="1" applyBorder="1" applyAlignment="1" applyProtection="1">
      <alignment horizontal="center" vertical="center" textRotation="90" wrapText="1"/>
    </xf>
    <xf numFmtId="0" fontId="0" fillId="2" borderId="2" xfId="0" applyFont="1" applyFill="1" applyBorder="1" applyAlignment="1" applyProtection="1">
      <alignment horizontal="center" vertical="center" textRotation="90" wrapText="1"/>
    </xf>
    <xf numFmtId="0" fontId="0" fillId="2" borderId="3" xfId="0" applyFont="1" applyFill="1" applyBorder="1" applyAlignment="1" applyProtection="1">
      <alignment horizontal="center" vertical="center" textRotation="90" wrapText="1"/>
    </xf>
    <xf numFmtId="0" fontId="0" fillId="2" borderId="4" xfId="0" applyFont="1" applyFill="1" applyBorder="1" applyAlignment="1" applyProtection="1">
      <alignment horizontal="center" vertical="center" textRotation="90" wrapText="1"/>
    </xf>
    <xf numFmtId="3"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0"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2" borderId="1" xfId="0" applyFill="1" applyBorder="1" applyAlignment="1">
      <alignment horizontal="justify" vertical="center" wrapText="1"/>
    </xf>
    <xf numFmtId="0" fontId="0" fillId="5" borderId="1" xfId="0" applyFill="1" applyBorder="1" applyAlignment="1">
      <alignment horizontal="justify" vertical="center" wrapText="1"/>
    </xf>
    <xf numFmtId="0" fontId="0" fillId="5" borderId="2" xfId="0" applyFill="1" applyBorder="1" applyAlignment="1">
      <alignment horizontal="justify" vertical="center" wrapText="1"/>
    </xf>
    <xf numFmtId="0" fontId="0" fillId="5" borderId="3" xfId="0" applyFill="1" applyBorder="1" applyAlignment="1">
      <alignment horizontal="justify" vertical="center" wrapText="1"/>
    </xf>
    <xf numFmtId="0" fontId="0" fillId="5" borderId="4" xfId="0" applyFill="1" applyBorder="1" applyAlignment="1">
      <alignment horizontal="justify" vertical="center" wrapText="1"/>
    </xf>
    <xf numFmtId="0" fontId="0" fillId="2" borderId="3" xfId="0" applyFill="1" applyBorder="1" applyAlignment="1">
      <alignment horizontal="justify" vertical="center"/>
    </xf>
    <xf numFmtId="0" fontId="0" fillId="5" borderId="1" xfId="0" applyFill="1" applyBorder="1" applyAlignment="1">
      <alignment horizontal="justify" vertical="center"/>
    </xf>
    <xf numFmtId="0" fontId="3" fillId="3" borderId="1" xfId="0" applyFont="1" applyFill="1" applyBorder="1" applyAlignment="1">
      <alignment horizontal="center" vertical="center"/>
    </xf>
    <xf numFmtId="2" fontId="0" fillId="4" borderId="1" xfId="0" applyNumberFormat="1" applyFill="1" applyBorder="1" applyAlignment="1">
      <alignment horizontal="justify" vertical="center" wrapText="1"/>
    </xf>
    <xf numFmtId="2" fontId="0" fillId="0" borderId="5" xfId="0" applyNumberFormat="1" applyBorder="1" applyAlignment="1">
      <alignment horizontal="justify" vertical="center" wrapText="1"/>
    </xf>
    <xf numFmtId="2" fontId="0" fillId="0" borderId="6" xfId="0" applyNumberFormat="1" applyBorder="1" applyAlignment="1">
      <alignment horizontal="justify" vertical="center" wrapText="1"/>
    </xf>
    <xf numFmtId="2" fontId="0" fillId="0" borderId="7" xfId="0" applyNumberFormat="1" applyBorder="1" applyAlignment="1">
      <alignment horizontal="justify" vertical="center" wrapText="1"/>
    </xf>
    <xf numFmtId="9" fontId="0" fillId="2" borderId="2" xfId="0" applyNumberForma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5" borderId="1" xfId="0" applyFill="1" applyBorder="1" applyAlignment="1">
      <alignment horizontal="center" vertical="center"/>
    </xf>
    <xf numFmtId="9" fontId="0" fillId="2" borderId="1" xfId="0" applyNumberFormat="1" applyFill="1" applyBorder="1" applyAlignment="1">
      <alignment horizontal="center" vertical="center" wrapText="1"/>
    </xf>
    <xf numFmtId="10"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4" borderId="5" xfId="0" applyFill="1" applyBorder="1" applyAlignment="1">
      <alignment horizontal="justify" vertical="center" wrapText="1"/>
    </xf>
    <xf numFmtId="0" fontId="0" fillId="4" borderId="6" xfId="0" applyFill="1" applyBorder="1" applyAlignment="1">
      <alignment horizontal="justify" vertical="center" wrapText="1"/>
    </xf>
    <xf numFmtId="0" fontId="0" fillId="4" borderId="7" xfId="0" applyFill="1"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3" xfId="0" applyBorder="1" applyAlignment="1">
      <alignment horizontal="justify" vertical="center"/>
    </xf>
    <xf numFmtId="0" fontId="0" fillId="0" borderId="3" xfId="0" applyBorder="1" applyAlignment="1">
      <alignment horizontal="center" vertical="center" wrapText="1"/>
    </xf>
    <xf numFmtId="0" fontId="0" fillId="5" borderId="2" xfId="0" applyFill="1" applyBorder="1" applyAlignment="1">
      <alignment horizontal="justify" vertical="center"/>
    </xf>
    <xf numFmtId="0" fontId="0" fillId="5" borderId="3" xfId="0" applyFill="1" applyBorder="1" applyAlignment="1">
      <alignment horizontal="justify" vertical="center"/>
    </xf>
    <xf numFmtId="0" fontId="0" fillId="5" borderId="4" xfId="0" applyFill="1" applyBorder="1" applyAlignment="1">
      <alignment horizontal="justify" vertical="center"/>
    </xf>
    <xf numFmtId="9" fontId="7" fillId="5" borderId="2"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4" xfId="0" applyFill="1" applyBorder="1" applyAlignment="1">
      <alignment horizontal="justify" vertical="center" wrapText="1"/>
    </xf>
    <xf numFmtId="9"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0" fontId="7" fillId="5"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0" fillId="4" borderId="1" xfId="0" applyFill="1" applyBorder="1" applyAlignment="1">
      <alignment horizontal="justify" vertical="center" wrapText="1"/>
    </xf>
    <xf numFmtId="0" fontId="0" fillId="0" borderId="1" xfId="0" applyBorder="1" applyAlignment="1">
      <alignment horizontal="justify" vertical="center" wrapText="1"/>
    </xf>
    <xf numFmtId="0" fontId="6" fillId="5" borderId="1" xfId="0" applyFont="1" applyFill="1" applyBorder="1" applyAlignment="1">
      <alignment horizontal="center" vertical="center" wrapText="1"/>
    </xf>
    <xf numFmtId="0" fontId="0" fillId="2" borderId="1" xfId="0" applyFill="1" applyBorder="1" applyAlignment="1">
      <alignment horizontal="justify" vertical="center"/>
    </xf>
    <xf numFmtId="0" fontId="0" fillId="2" borderId="1" xfId="0" applyFill="1" applyBorder="1" applyAlignment="1">
      <alignment horizontal="center" vertical="center"/>
    </xf>
    <xf numFmtId="0" fontId="6" fillId="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wrapText="1"/>
    </xf>
    <xf numFmtId="0" fontId="0" fillId="0" borderId="30" xfId="0" applyBorder="1" applyAlignment="1">
      <alignment horizontal="center" vertical="center" wrapText="1"/>
    </xf>
    <xf numFmtId="0" fontId="0" fillId="11" borderId="19" xfId="0" applyFill="1" applyBorder="1" applyAlignment="1">
      <alignment horizontal="justify" vertical="center" wrapText="1"/>
    </xf>
    <xf numFmtId="0" fontId="0" fillId="11" borderId="4" xfId="0" applyFill="1" applyBorder="1" applyAlignment="1">
      <alignment horizontal="justify"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11" borderId="4" xfId="0" applyFill="1" applyBorder="1" applyAlignment="1">
      <alignment horizontal="justify" vertical="center" wrapText="1"/>
    </xf>
    <xf numFmtId="0" fontId="0" fillId="11" borderId="1" xfId="0" applyFill="1" applyBorder="1" applyAlignment="1">
      <alignment horizontal="justify" vertical="center" wrapText="1"/>
    </xf>
    <xf numFmtId="0" fontId="0" fillId="6" borderId="2" xfId="0" applyFill="1" applyBorder="1" applyAlignment="1">
      <alignment horizontal="justify" vertical="center" wrapText="1"/>
    </xf>
    <xf numFmtId="0" fontId="0" fillId="6" borderId="4" xfId="0" applyFill="1" applyBorder="1" applyAlignment="1">
      <alignment horizontal="justify" vertical="center" wrapText="1"/>
    </xf>
    <xf numFmtId="0" fontId="0" fillId="6" borderId="1" xfId="0" applyFill="1" applyBorder="1" applyAlignment="1">
      <alignment horizontal="justify" vertical="center" wrapText="1"/>
    </xf>
    <xf numFmtId="0" fontId="2" fillId="3" borderId="9" xfId="0" applyFont="1" applyFill="1" applyBorder="1" applyAlignment="1">
      <alignment horizontal="center" vertical="center"/>
    </xf>
    <xf numFmtId="0" fontId="2" fillId="3" borderId="13" xfId="0" applyFont="1" applyFill="1" applyBorder="1" applyAlignment="1">
      <alignment horizontal="center" vertical="center"/>
    </xf>
    <xf numFmtId="0" fontId="6" fillId="0" borderId="4" xfId="0" applyFont="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0" fillId="0" borderId="19" xfId="0" applyBorder="1" applyAlignment="1">
      <alignment horizontal="justify" vertical="center" wrapText="1"/>
    </xf>
    <xf numFmtId="0" fontId="0" fillId="0" borderId="4" xfId="0" applyBorder="1" applyAlignment="1">
      <alignment horizontal="justify" vertical="center" wrapText="1"/>
    </xf>
    <xf numFmtId="0" fontId="0" fillId="9" borderId="2" xfId="0" applyFill="1" applyBorder="1" applyAlignment="1">
      <alignment vertical="center" wrapText="1"/>
    </xf>
    <xf numFmtId="0" fontId="0" fillId="9" borderId="4" xfId="0" applyFill="1" applyBorder="1" applyAlignment="1">
      <alignment vertical="center"/>
    </xf>
    <xf numFmtId="0" fontId="0" fillId="0" borderId="1" xfId="0" applyBorder="1" applyAlignment="1">
      <alignment horizontal="justify" vertical="center"/>
    </xf>
    <xf numFmtId="0" fontId="0" fillId="8" borderId="2" xfId="0" applyFill="1" applyBorder="1" applyAlignment="1">
      <alignment horizontal="justify" vertical="center" wrapText="1"/>
    </xf>
    <xf numFmtId="0" fontId="0" fillId="8" borderId="4" xfId="0" applyFill="1" applyBorder="1" applyAlignment="1">
      <alignment horizontal="justify" vertical="center" wrapText="1"/>
    </xf>
    <xf numFmtId="0" fontId="0" fillId="0" borderId="33" xfId="0" applyBorder="1" applyAlignment="1">
      <alignment horizontal="left" vertical="center"/>
    </xf>
    <xf numFmtId="0" fontId="0" fillId="11" borderId="2" xfId="0" applyFill="1" applyBorder="1" applyAlignment="1">
      <alignment horizontal="justify" vertical="center" wrapText="1"/>
    </xf>
    <xf numFmtId="0" fontId="0" fillId="11" borderId="12" xfId="0" applyFill="1" applyBorder="1" applyAlignment="1">
      <alignment horizontal="justify" vertical="center" wrapText="1"/>
    </xf>
    <xf numFmtId="0" fontId="0" fillId="0" borderId="3" xfId="0" applyBorder="1" applyAlignment="1">
      <alignment horizontal="justify" vertical="center" wrapText="1"/>
    </xf>
    <xf numFmtId="0" fontId="0" fillId="8" borderId="2" xfId="0" applyFill="1" applyBorder="1" applyAlignment="1">
      <alignment horizontal="center" vertical="center" wrapText="1"/>
    </xf>
    <xf numFmtId="0" fontId="0" fillId="8" borderId="4"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0" xfId="0"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cellXfs>
  <cellStyles count="23">
    <cellStyle name="Millares" xfId="3" builtinId="3"/>
    <cellStyle name="Millares [0] 2" xfId="8" xr:uid="{00000000-0005-0000-0000-000001000000}"/>
    <cellStyle name="Millares [0] 3" xfId="6" xr:uid="{00000000-0005-0000-0000-000002000000}"/>
    <cellStyle name="Millares 2" xfId="5" xr:uid="{00000000-0005-0000-0000-000003000000}"/>
    <cellStyle name="Millares 2 2" xfId="15" xr:uid="{00000000-0005-0000-0000-000004000000}"/>
    <cellStyle name="Millares 2 3" xfId="20" xr:uid="{00000000-0005-0000-0000-000005000000}"/>
    <cellStyle name="Millares 3" xfId="12" xr:uid="{00000000-0005-0000-0000-000006000000}"/>
    <cellStyle name="Millares 4" xfId="13" xr:uid="{00000000-0005-0000-0000-000007000000}"/>
    <cellStyle name="Moneda" xfId="4" builtinId="4"/>
    <cellStyle name="Moneda [0] 2" xfId="7" xr:uid="{00000000-0005-0000-0000-000009000000}"/>
    <cellStyle name="Moneda [0] 3" xfId="22" xr:uid="{00000000-0005-0000-0000-00000A000000}"/>
    <cellStyle name="Moneda 2" xfId="16" xr:uid="{00000000-0005-0000-0000-00000B000000}"/>
    <cellStyle name="Moneda 3" xfId="14" xr:uid="{00000000-0005-0000-0000-00000C000000}"/>
    <cellStyle name="Moneda 4" xfId="18" xr:uid="{00000000-0005-0000-0000-00000D000000}"/>
    <cellStyle name="Moneda 5" xfId="21" xr:uid="{00000000-0005-0000-0000-00000E000000}"/>
    <cellStyle name="Moneda 6" xfId="19" xr:uid="{00000000-0005-0000-0000-00000F000000}"/>
    <cellStyle name="Neutral" xfId="2" builtinId="28"/>
    <cellStyle name="Normal" xfId="0" builtinId="0"/>
    <cellStyle name="Normal 16" xfId="11" xr:uid="{00000000-0005-0000-0000-000012000000}"/>
    <cellStyle name="Normal 2 2" xfId="9" xr:uid="{00000000-0005-0000-0000-000013000000}"/>
    <cellStyle name="Normal 2 5" xfId="10" xr:uid="{00000000-0005-0000-0000-000014000000}"/>
    <cellStyle name="Normal 3" xfId="17" xr:uid="{00000000-0005-0000-0000-000015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552450</xdr:colOff>
      <xdr:row>3</xdr:row>
      <xdr:rowOff>85724</xdr:rowOff>
    </xdr:from>
    <xdr:to>
      <xdr:col>15</xdr:col>
      <xdr:colOff>342900</xdr:colOff>
      <xdr:row>17</xdr:row>
      <xdr:rowOff>180975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6943725" y="581024"/>
          <a:ext cx="4362450" cy="2771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IDEAS</a:t>
          </a:r>
          <a:r>
            <a:rPr lang="en-US" baseline="0"/>
            <a:t> FUERZA </a:t>
          </a:r>
        </a:p>
        <a:p>
          <a:endParaRPr lang="en-US"/>
        </a:p>
        <a:p>
          <a:r>
            <a:rPr lang="en-US"/>
            <a:t>La Universidad Distrital Francisco José de Caldas en el futuro:</a:t>
          </a:r>
        </a:p>
        <a:p>
          <a:endParaRPr lang="en-US"/>
        </a:p>
        <a:p>
          <a:r>
            <a:rPr lang="en-US"/>
            <a:t>  Construye, crea, propicia e intercambia conocimientos y saberes contextualizados en torno a los campos de conocimiento y campos estratégicos que defina la comunidad universitaria. </a:t>
          </a:r>
        </a:p>
        <a:p>
          <a:endParaRPr lang="en-US"/>
        </a:p>
        <a:p>
          <a:r>
            <a:rPr lang="en-US"/>
            <a:t> Consolida una comunidad universitaria crítica, transformadora y autónoma, comprometida con la construcción de una sociedad en paz y en armonía con el ambiente.</a:t>
          </a:r>
        </a:p>
        <a:p>
          <a:endParaRPr lang="en-US"/>
        </a:p>
        <a:p>
          <a:r>
            <a:rPr lang="en-US"/>
            <a:t>  Establece el pluralismo y la democracia participativa, como principios de la organización académica, administrativa y del gobierno de la universidad.</a:t>
          </a:r>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6"/>
  <sheetViews>
    <sheetView showGridLines="0" workbookViewId="0">
      <selection activeCell="F18" sqref="F18"/>
    </sheetView>
  </sheetViews>
  <sheetFormatPr baseColWidth="10" defaultRowHeight="15"/>
  <sheetData>
    <row r="2" spans="2:2" ht="15.75">
      <c r="B2" s="49" t="s">
        <v>292</v>
      </c>
    </row>
    <row r="16" spans="2:2" ht="15.75">
      <c r="B16" s="49" t="s">
        <v>293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B1:X129"/>
  <sheetViews>
    <sheetView showGridLines="0" topLeftCell="S112" zoomScaleNormal="100" workbookViewId="0">
      <selection activeCell="K121" sqref="K121:U124"/>
    </sheetView>
  </sheetViews>
  <sheetFormatPr baseColWidth="10" defaultRowHeight="15"/>
  <cols>
    <col min="1" max="1" width="2.7109375" customWidth="1"/>
    <col min="2" max="2" width="16.85546875" style="623" customWidth="1"/>
    <col min="3" max="3" width="15" style="623" customWidth="1"/>
    <col min="4" max="4" width="16.140625" style="727" customWidth="1"/>
    <col min="5" max="5" width="4.42578125" style="8" customWidth="1"/>
    <col min="6" max="6" width="31.7109375" customWidth="1"/>
    <col min="7" max="7" width="3.85546875" style="75" customWidth="1"/>
    <col min="8" max="8" width="44.85546875" style="75" customWidth="1"/>
    <col min="9" max="9" width="37" style="75" customWidth="1"/>
    <col min="10" max="10" width="16.42578125" style="727" customWidth="1"/>
    <col min="11" max="11" width="20" style="423" customWidth="1"/>
    <col min="12" max="12" width="24.28515625" style="423" customWidth="1"/>
    <col min="13" max="13" width="20" style="423" customWidth="1"/>
    <col min="14" max="14" width="24.28515625" style="423" customWidth="1"/>
    <col min="15" max="15" width="20" style="423" customWidth="1"/>
    <col min="16" max="16" width="24.28515625" style="423" customWidth="1"/>
    <col min="17" max="17" width="20" style="423" customWidth="1"/>
    <col min="18" max="18" width="24.28515625" style="423" customWidth="1"/>
    <col min="19" max="19" width="22" style="429" customWidth="1"/>
    <col min="20" max="20" width="59.85546875" style="228" customWidth="1"/>
    <col min="21" max="21" width="26.85546875" bestFit="1" customWidth="1"/>
    <col min="22" max="23" width="20.7109375" customWidth="1"/>
    <col min="24" max="24" width="23.5703125" style="623" customWidth="1"/>
  </cols>
  <sheetData>
    <row r="1" spans="2:24" ht="10.5" customHeight="1"/>
    <row r="2" spans="2:24" ht="15.75">
      <c r="K2" s="983">
        <v>2022</v>
      </c>
      <c r="L2" s="983"/>
      <c r="M2" s="983">
        <v>2023</v>
      </c>
      <c r="N2" s="983"/>
      <c r="O2" s="983">
        <v>2024</v>
      </c>
      <c r="P2" s="983"/>
      <c r="Q2" s="983">
        <v>2025</v>
      </c>
      <c r="R2" s="983"/>
      <c r="U2" s="975"/>
      <c r="V2" s="975"/>
    </row>
    <row r="3" spans="2:24" ht="15" customHeight="1">
      <c r="B3" s="883" t="s">
        <v>756</v>
      </c>
      <c r="C3" s="883" t="s">
        <v>854</v>
      </c>
      <c r="D3" s="884" t="s">
        <v>747</v>
      </c>
      <c r="E3" s="885" t="s">
        <v>598</v>
      </c>
      <c r="F3" s="885"/>
      <c r="G3" s="885" t="s">
        <v>1167</v>
      </c>
      <c r="H3" s="885"/>
      <c r="I3" s="987" t="s">
        <v>745</v>
      </c>
      <c r="J3" s="885" t="s">
        <v>1163</v>
      </c>
      <c r="K3" s="986" t="s">
        <v>1174</v>
      </c>
      <c r="L3" s="986" t="s">
        <v>1175</v>
      </c>
      <c r="M3" s="986" t="s">
        <v>1174</v>
      </c>
      <c r="N3" s="986" t="s">
        <v>1175</v>
      </c>
      <c r="O3" s="986" t="s">
        <v>1174</v>
      </c>
      <c r="P3" s="986" t="s">
        <v>1175</v>
      </c>
      <c r="Q3" s="986" t="s">
        <v>1174</v>
      </c>
      <c r="R3" s="986" t="s">
        <v>1175</v>
      </c>
      <c r="S3" s="875" t="s">
        <v>1176</v>
      </c>
      <c r="T3" s="986" t="s">
        <v>825</v>
      </c>
      <c r="U3" s="988" t="s">
        <v>1177</v>
      </c>
      <c r="V3" s="984" t="s">
        <v>1178</v>
      </c>
      <c r="W3" s="984" t="s">
        <v>1179</v>
      </c>
      <c r="X3" s="984" t="s">
        <v>1433</v>
      </c>
    </row>
    <row r="4" spans="2:24" ht="15" hidden="1" customHeight="1">
      <c r="B4" s="883"/>
      <c r="C4" s="883"/>
      <c r="D4" s="884"/>
      <c r="E4" s="885"/>
      <c r="F4" s="885"/>
      <c r="G4" s="885"/>
      <c r="H4" s="885"/>
      <c r="I4" s="987"/>
      <c r="J4" s="885"/>
      <c r="K4" s="986"/>
      <c r="L4" s="986" t="s">
        <v>1173</v>
      </c>
      <c r="M4" s="986"/>
      <c r="N4" s="986" t="s">
        <v>1173</v>
      </c>
      <c r="O4" s="986"/>
      <c r="P4" s="986" t="s">
        <v>1173</v>
      </c>
      <c r="Q4" s="986"/>
      <c r="R4" s="986" t="s">
        <v>1173</v>
      </c>
      <c r="S4" s="875"/>
      <c r="T4" s="986"/>
      <c r="U4" s="989" t="s">
        <v>1173</v>
      </c>
      <c r="V4" s="985"/>
      <c r="W4" s="985"/>
      <c r="X4" s="985"/>
    </row>
    <row r="5" spans="2:24" ht="78" hidden="1" customHeight="1">
      <c r="B5" s="957" t="s">
        <v>1022</v>
      </c>
      <c r="C5" s="747" t="s">
        <v>856</v>
      </c>
      <c r="D5" s="957" t="s">
        <v>1440</v>
      </c>
      <c r="E5" s="877" t="s">
        <v>580</v>
      </c>
      <c r="F5" s="880" t="s">
        <v>579</v>
      </c>
      <c r="G5" s="626">
        <v>1</v>
      </c>
      <c r="H5" s="345" t="s">
        <v>1290</v>
      </c>
      <c r="I5" s="347" t="s">
        <v>1156</v>
      </c>
      <c r="J5" s="408">
        <v>1</v>
      </c>
      <c r="K5" s="584">
        <f>1071179501+348434090</f>
        <v>1419613591</v>
      </c>
      <c r="L5" s="584">
        <v>0</v>
      </c>
      <c r="M5" s="584">
        <f t="shared" ref="M5:M10" si="0">K5*(1+9.5%)</f>
        <v>1554476882.145</v>
      </c>
      <c r="N5" s="584">
        <v>0</v>
      </c>
      <c r="O5" s="584">
        <f>M5*(1+6.4%)</f>
        <v>1653963402.6022801</v>
      </c>
      <c r="P5" s="584">
        <v>0</v>
      </c>
      <c r="Q5" s="584">
        <f t="shared" ref="Q5:Q10" si="1">O5*(1+4%)</f>
        <v>1720121938.7063713</v>
      </c>
      <c r="R5" s="584">
        <v>0</v>
      </c>
      <c r="S5" s="582">
        <f t="shared" ref="S5:S51" si="2">SUM(K5:R5)</f>
        <v>6348175814.4536514</v>
      </c>
      <c r="T5" s="347" t="s">
        <v>1258</v>
      </c>
      <c r="U5" s="779">
        <f t="shared" ref="U5:U10" si="3">S5</f>
        <v>6348175814.4536514</v>
      </c>
      <c r="V5" s="422">
        <v>0</v>
      </c>
      <c r="W5" s="422">
        <v>0</v>
      </c>
      <c r="X5" s="725" t="s">
        <v>1276</v>
      </c>
    </row>
    <row r="6" spans="2:24" ht="76.5" hidden="1">
      <c r="B6" s="958"/>
      <c r="C6" s="747" t="s">
        <v>856</v>
      </c>
      <c r="D6" s="958"/>
      <c r="E6" s="878"/>
      <c r="F6" s="881"/>
      <c r="G6" s="626">
        <v>2</v>
      </c>
      <c r="H6" s="345" t="s">
        <v>857</v>
      </c>
      <c r="I6" s="347" t="s">
        <v>742</v>
      </c>
      <c r="J6" s="408">
        <v>1</v>
      </c>
      <c r="K6" s="585">
        <f>1071179501+348434090</f>
        <v>1419613591</v>
      </c>
      <c r="L6" s="585">
        <v>0</v>
      </c>
      <c r="M6" s="585">
        <f t="shared" si="0"/>
        <v>1554476882.145</v>
      </c>
      <c r="N6" s="585">
        <v>0</v>
      </c>
      <c r="O6" s="585">
        <f>M6*(1+6.4%)</f>
        <v>1653963402.6022801</v>
      </c>
      <c r="P6" s="585">
        <v>0</v>
      </c>
      <c r="Q6" s="585">
        <f t="shared" si="1"/>
        <v>1720121938.7063713</v>
      </c>
      <c r="R6" s="585">
        <v>0</v>
      </c>
      <c r="S6" s="588">
        <f t="shared" si="2"/>
        <v>6348175814.4536514</v>
      </c>
      <c r="T6" s="347" t="s">
        <v>1258</v>
      </c>
      <c r="U6" s="780">
        <f t="shared" si="3"/>
        <v>6348175814.4536514</v>
      </c>
      <c r="V6" s="435">
        <v>0</v>
      </c>
      <c r="W6" s="435">
        <v>0</v>
      </c>
      <c r="X6" s="725" t="s">
        <v>1276</v>
      </c>
    </row>
    <row r="7" spans="2:24" ht="76.5" hidden="1">
      <c r="B7" s="959"/>
      <c r="C7" s="747" t="s">
        <v>868</v>
      </c>
      <c r="D7" s="959"/>
      <c r="E7" s="879"/>
      <c r="F7" s="882"/>
      <c r="G7" s="626">
        <v>3</v>
      </c>
      <c r="H7" s="753" t="s">
        <v>1362</v>
      </c>
      <c r="I7" s="347" t="s">
        <v>744</v>
      </c>
      <c r="J7" s="408">
        <v>1</v>
      </c>
      <c r="K7" s="585">
        <f>1071179501+348434090</f>
        <v>1419613591</v>
      </c>
      <c r="L7" s="585">
        <v>0</v>
      </c>
      <c r="M7" s="585">
        <f t="shared" si="0"/>
        <v>1554476882.145</v>
      </c>
      <c r="N7" s="585">
        <v>0</v>
      </c>
      <c r="O7" s="585">
        <f>M7*(1+6.4%)</f>
        <v>1653963402.6022801</v>
      </c>
      <c r="P7" s="585">
        <v>0</v>
      </c>
      <c r="Q7" s="585">
        <f t="shared" si="1"/>
        <v>1720121938.7063713</v>
      </c>
      <c r="R7" s="585">
        <v>0</v>
      </c>
      <c r="S7" s="588">
        <f t="shared" si="2"/>
        <v>6348175814.4536514</v>
      </c>
      <c r="T7" s="347" t="s">
        <v>1258</v>
      </c>
      <c r="U7" s="780">
        <f t="shared" si="3"/>
        <v>6348175814.4536514</v>
      </c>
      <c r="V7" s="435">
        <v>0</v>
      </c>
      <c r="W7" s="435">
        <v>0</v>
      </c>
      <c r="X7" s="725" t="s">
        <v>1276</v>
      </c>
    </row>
    <row r="8" spans="2:24" ht="76.5">
      <c r="B8" s="954" t="s">
        <v>755</v>
      </c>
      <c r="C8" s="575" t="s">
        <v>865</v>
      </c>
      <c r="D8" s="954" t="s">
        <v>1440</v>
      </c>
      <c r="E8" s="886" t="s">
        <v>581</v>
      </c>
      <c r="F8" s="888" t="s">
        <v>582</v>
      </c>
      <c r="G8" s="914">
        <v>1</v>
      </c>
      <c r="H8" s="939" t="s">
        <v>562</v>
      </c>
      <c r="I8" s="409" t="s">
        <v>1363</v>
      </c>
      <c r="J8" s="718">
        <v>34</v>
      </c>
      <c r="K8" s="583">
        <f>((5399642755)*(1+7.26%)+12360397068)+1837866409*(1+7.26%)+1071179501+348434090</f>
        <v>21542962988.3064</v>
      </c>
      <c r="L8" s="583">
        <v>0</v>
      </c>
      <c r="M8" s="583">
        <f t="shared" si="0"/>
        <v>23589544472.195507</v>
      </c>
      <c r="N8" s="583">
        <v>0</v>
      </c>
      <c r="O8" s="583">
        <f>M8*(1+6.6%)</f>
        <v>25146454407.360413</v>
      </c>
      <c r="P8" s="583">
        <v>0</v>
      </c>
      <c r="Q8" s="583">
        <f t="shared" si="1"/>
        <v>26152312583.654831</v>
      </c>
      <c r="R8" s="583">
        <v>0</v>
      </c>
      <c r="S8" s="581">
        <f t="shared" si="2"/>
        <v>96431274451.517151</v>
      </c>
      <c r="T8" s="409" t="s">
        <v>1181</v>
      </c>
      <c r="U8" s="580">
        <f t="shared" si="3"/>
        <v>96431274451.517151</v>
      </c>
      <c r="V8" s="555">
        <v>0</v>
      </c>
      <c r="W8" s="555">
        <v>0</v>
      </c>
      <c r="X8" s="720" t="s">
        <v>1265</v>
      </c>
    </row>
    <row r="9" spans="2:24" ht="76.5" hidden="1">
      <c r="B9" s="955"/>
      <c r="C9" s="575"/>
      <c r="D9" s="955"/>
      <c r="E9" s="904"/>
      <c r="F9" s="908"/>
      <c r="G9" s="916"/>
      <c r="H9" s="940"/>
      <c r="I9" s="409" t="s">
        <v>1441</v>
      </c>
      <c r="J9" s="718">
        <v>20</v>
      </c>
      <c r="K9" s="583">
        <f>((5399642755)*(1+7.26%)+12360397068)+1837866409*(1+7.26%)+1071179501+348434090</f>
        <v>21542962988.3064</v>
      </c>
      <c r="L9" s="583">
        <v>0</v>
      </c>
      <c r="M9" s="583">
        <f t="shared" si="0"/>
        <v>23589544472.195507</v>
      </c>
      <c r="N9" s="583">
        <v>0</v>
      </c>
      <c r="O9" s="583">
        <f>M9*(1+6.6%)</f>
        <v>25146454407.360413</v>
      </c>
      <c r="P9" s="583">
        <v>0</v>
      </c>
      <c r="Q9" s="583">
        <f t="shared" si="1"/>
        <v>26152312583.654831</v>
      </c>
      <c r="R9" s="583"/>
      <c r="S9" s="581">
        <f t="shared" si="2"/>
        <v>96431274451.517151</v>
      </c>
      <c r="T9" s="409" t="s">
        <v>1181</v>
      </c>
      <c r="U9" s="580">
        <f t="shared" si="3"/>
        <v>96431274451.517151</v>
      </c>
      <c r="V9" s="555">
        <v>0</v>
      </c>
      <c r="W9" s="555">
        <v>0</v>
      </c>
      <c r="X9" s="775" t="s">
        <v>1276</v>
      </c>
    </row>
    <row r="10" spans="2:24" ht="99" hidden="1" customHeight="1">
      <c r="B10" s="956"/>
      <c r="C10" s="575" t="s">
        <v>865</v>
      </c>
      <c r="D10" s="956"/>
      <c r="E10" s="887"/>
      <c r="F10" s="889"/>
      <c r="G10" s="718">
        <v>2</v>
      </c>
      <c r="H10" s="409" t="s">
        <v>563</v>
      </c>
      <c r="I10" s="409" t="s">
        <v>758</v>
      </c>
      <c r="J10" s="718">
        <v>4</v>
      </c>
      <c r="K10" s="583">
        <f>(5399642755)*(1+7.26%)+12360397068+1837866409*(1+7.26%)+K7</f>
        <v>21542962988.3064</v>
      </c>
      <c r="L10" s="583">
        <v>0</v>
      </c>
      <c r="M10" s="583">
        <f t="shared" si="0"/>
        <v>23589544472.195507</v>
      </c>
      <c r="N10" s="583">
        <v>0</v>
      </c>
      <c r="O10" s="583">
        <f>M10*(1+6.6%)</f>
        <v>25146454407.360413</v>
      </c>
      <c r="P10" s="583">
        <v>0</v>
      </c>
      <c r="Q10" s="583">
        <f t="shared" si="1"/>
        <v>26152312583.654831</v>
      </c>
      <c r="R10" s="583">
        <v>0</v>
      </c>
      <c r="S10" s="581">
        <f t="shared" si="2"/>
        <v>96431274451.517151</v>
      </c>
      <c r="T10" s="409" t="s">
        <v>1439</v>
      </c>
      <c r="U10" s="580">
        <f t="shared" si="3"/>
        <v>96431274451.517151</v>
      </c>
      <c r="V10" s="555">
        <v>0</v>
      </c>
      <c r="W10" s="555">
        <v>0</v>
      </c>
      <c r="X10" s="725" t="s">
        <v>1276</v>
      </c>
    </row>
    <row r="11" spans="2:24" ht="232.5" hidden="1" customHeight="1">
      <c r="B11" s="957" t="s">
        <v>853</v>
      </c>
      <c r="C11" s="747" t="s">
        <v>856</v>
      </c>
      <c r="D11" s="957" t="s">
        <v>1440</v>
      </c>
      <c r="E11" s="877" t="s">
        <v>585</v>
      </c>
      <c r="F11" s="880" t="s">
        <v>858</v>
      </c>
      <c r="G11" s="626">
        <v>1</v>
      </c>
      <c r="H11" s="753" t="s">
        <v>564</v>
      </c>
      <c r="I11" s="969" t="s">
        <v>523</v>
      </c>
      <c r="J11" s="892">
        <v>0.5</v>
      </c>
      <c r="K11" s="584">
        <v>248245624</v>
      </c>
      <c r="L11" s="584">
        <v>0</v>
      </c>
      <c r="M11" s="584">
        <v>0</v>
      </c>
      <c r="N11" s="584">
        <v>0</v>
      </c>
      <c r="O11" s="584">
        <v>0</v>
      </c>
      <c r="P11" s="584">
        <v>0</v>
      </c>
      <c r="Q11" s="584">
        <v>0</v>
      </c>
      <c r="R11" s="584">
        <v>0</v>
      </c>
      <c r="S11" s="582">
        <f t="shared" si="2"/>
        <v>248245624</v>
      </c>
      <c r="T11" s="347" t="s">
        <v>1182</v>
      </c>
      <c r="U11" s="779">
        <f>K11</f>
        <v>248245624</v>
      </c>
      <c r="V11" s="422">
        <v>0</v>
      </c>
      <c r="W11" s="422">
        <v>0</v>
      </c>
      <c r="X11" s="725" t="s">
        <v>1276</v>
      </c>
    </row>
    <row r="12" spans="2:24" ht="135.75" customHeight="1">
      <c r="B12" s="959"/>
      <c r="C12" s="747" t="s">
        <v>856</v>
      </c>
      <c r="D12" s="959"/>
      <c r="E12" s="879"/>
      <c r="F12" s="882"/>
      <c r="G12" s="626">
        <v>2</v>
      </c>
      <c r="H12" s="753" t="s">
        <v>964</v>
      </c>
      <c r="I12" s="970"/>
      <c r="J12" s="893"/>
      <c r="K12" s="584">
        <f>(5399642755)*(1+7.26%)+12360397068+1837866409*(1+7.26%)</f>
        <v>20123349397.3064</v>
      </c>
      <c r="L12" s="584">
        <v>0</v>
      </c>
      <c r="M12" s="584">
        <f>K12*(1+9.5%)</f>
        <v>22035067590.050507</v>
      </c>
      <c r="N12" s="584">
        <v>0</v>
      </c>
      <c r="O12" s="584">
        <f>M12*(1+6.6%)</f>
        <v>23489382050.993843</v>
      </c>
      <c r="P12" s="584">
        <v>0</v>
      </c>
      <c r="Q12" s="584">
        <f>O12*(1+4%)</f>
        <v>24428957333.033596</v>
      </c>
      <c r="R12" s="584">
        <v>0</v>
      </c>
      <c r="S12" s="582">
        <f t="shared" si="2"/>
        <v>90076756371.384338</v>
      </c>
      <c r="T12" s="347" t="s">
        <v>1183</v>
      </c>
      <c r="U12" s="779">
        <f>S12</f>
        <v>90076756371.384338</v>
      </c>
      <c r="V12" s="422">
        <v>0</v>
      </c>
      <c r="W12" s="422">
        <v>0</v>
      </c>
      <c r="X12" s="720" t="s">
        <v>1265</v>
      </c>
    </row>
    <row r="13" spans="2:24" ht="90.75" hidden="1" customHeight="1">
      <c r="B13" s="954" t="s">
        <v>757</v>
      </c>
      <c r="C13" s="765" t="s">
        <v>868</v>
      </c>
      <c r="D13" s="954" t="s">
        <v>1440</v>
      </c>
      <c r="E13" s="886" t="s">
        <v>586</v>
      </c>
      <c r="F13" s="888" t="s">
        <v>961</v>
      </c>
      <c r="G13" s="718">
        <v>1</v>
      </c>
      <c r="H13" s="409" t="s">
        <v>1364</v>
      </c>
      <c r="I13" s="409" t="s">
        <v>1170</v>
      </c>
      <c r="J13" s="495">
        <v>1</v>
      </c>
      <c r="K13" s="583">
        <f>(5399642755)*(1+7.26%)+12360397068+1837866409*(1+7.26%)</f>
        <v>20123349397.3064</v>
      </c>
      <c r="L13" s="583">
        <v>0</v>
      </c>
      <c r="M13" s="583">
        <f>K13*(1+9.5%)</f>
        <v>22035067590.050507</v>
      </c>
      <c r="N13" s="583">
        <v>0</v>
      </c>
      <c r="O13" s="583">
        <f>M13*(1+6.6%)</f>
        <v>23489382050.993843</v>
      </c>
      <c r="P13" s="583">
        <v>0</v>
      </c>
      <c r="Q13" s="583">
        <f>O13*(1+4%)</f>
        <v>24428957333.033596</v>
      </c>
      <c r="R13" s="583">
        <v>0</v>
      </c>
      <c r="S13" s="581">
        <f t="shared" si="2"/>
        <v>90076756371.384338</v>
      </c>
      <c r="T13" s="409" t="s">
        <v>1184</v>
      </c>
      <c r="U13" s="580">
        <f>+S13</f>
        <v>90076756371.384338</v>
      </c>
      <c r="V13" s="555">
        <v>0</v>
      </c>
      <c r="W13" s="555">
        <v>0</v>
      </c>
      <c r="X13" s="725" t="s">
        <v>1283</v>
      </c>
    </row>
    <row r="14" spans="2:24" ht="83.25" customHeight="1">
      <c r="B14" s="956"/>
      <c r="C14" s="765" t="s">
        <v>868</v>
      </c>
      <c r="D14" s="956"/>
      <c r="E14" s="887"/>
      <c r="F14" s="889"/>
      <c r="G14" s="718">
        <v>2</v>
      </c>
      <c r="H14" s="409" t="s">
        <v>1293</v>
      </c>
      <c r="I14" s="409" t="s">
        <v>1208</v>
      </c>
      <c r="J14" s="495">
        <v>1</v>
      </c>
      <c r="K14" s="583">
        <f>(167857834+45379417+136138248)*(1+7.26%)</f>
        <v>374740160.2274</v>
      </c>
      <c r="L14" s="583">
        <v>0</v>
      </c>
      <c r="M14" s="583">
        <f>K14*(1+9.5%)</f>
        <v>410340475.44900298</v>
      </c>
      <c r="N14" s="583">
        <v>0</v>
      </c>
      <c r="O14" s="583">
        <f>M14*(1+6.6%)</f>
        <v>437422946.82863718</v>
      </c>
      <c r="P14" s="583">
        <v>0</v>
      </c>
      <c r="Q14" s="583">
        <f>O14*(1+4%)</f>
        <v>454919864.7017827</v>
      </c>
      <c r="R14" s="583">
        <v>0</v>
      </c>
      <c r="S14" s="581">
        <f t="shared" si="2"/>
        <v>1677423447.2068229</v>
      </c>
      <c r="T14" s="409" t="s">
        <v>1185</v>
      </c>
      <c r="U14" s="580">
        <f>+S14</f>
        <v>1677423447.2068229</v>
      </c>
      <c r="V14" s="555">
        <v>0</v>
      </c>
      <c r="W14" s="555">
        <v>0</v>
      </c>
      <c r="X14" s="720" t="s">
        <v>1265</v>
      </c>
    </row>
    <row r="15" spans="2:24" ht="76.5" hidden="1">
      <c r="B15" s="957" t="s">
        <v>1131</v>
      </c>
      <c r="C15" s="747" t="s">
        <v>880</v>
      </c>
      <c r="D15" s="957" t="s">
        <v>1440</v>
      </c>
      <c r="E15" s="877" t="s">
        <v>587</v>
      </c>
      <c r="F15" s="880" t="s">
        <v>734</v>
      </c>
      <c r="G15" s="626">
        <v>1</v>
      </c>
      <c r="H15" s="753" t="s">
        <v>1210</v>
      </c>
      <c r="I15" s="347" t="s">
        <v>827</v>
      </c>
      <c r="J15" s="408">
        <v>1</v>
      </c>
      <c r="K15" s="584">
        <f>1071179501+348434090</f>
        <v>1419613591</v>
      </c>
      <c r="L15" s="584">
        <v>0</v>
      </c>
      <c r="M15" s="584">
        <f>K15*(1+9.5%)</f>
        <v>1554476882.145</v>
      </c>
      <c r="N15" s="584">
        <v>0</v>
      </c>
      <c r="O15" s="584">
        <f>M15*(1+6.6%)</f>
        <v>1657072356.36657</v>
      </c>
      <c r="P15" s="584">
        <v>0</v>
      </c>
      <c r="Q15" s="584">
        <f>O15*(1+4%)</f>
        <v>1723355250.6212327</v>
      </c>
      <c r="R15" s="584">
        <v>0</v>
      </c>
      <c r="S15" s="582">
        <f t="shared" si="2"/>
        <v>6354518080.132803</v>
      </c>
      <c r="T15" s="347" t="s">
        <v>1180</v>
      </c>
      <c r="U15" s="779">
        <f>S15</f>
        <v>6354518080.132803</v>
      </c>
      <c r="V15" s="422">
        <v>0</v>
      </c>
      <c r="W15" s="422">
        <v>0</v>
      </c>
      <c r="X15" s="725" t="s">
        <v>1276</v>
      </c>
    </row>
    <row r="16" spans="2:24" ht="207" customHeight="1">
      <c r="B16" s="959"/>
      <c r="C16" s="747" t="s">
        <v>880</v>
      </c>
      <c r="D16" s="959"/>
      <c r="E16" s="879"/>
      <c r="F16" s="882"/>
      <c r="G16" s="626">
        <v>2</v>
      </c>
      <c r="H16" s="753" t="s">
        <v>1294</v>
      </c>
      <c r="I16" s="347" t="s">
        <v>524</v>
      </c>
      <c r="J16" s="434">
        <v>120</v>
      </c>
      <c r="K16" s="584">
        <v>0</v>
      </c>
      <c r="L16" s="584">
        <v>0</v>
      </c>
      <c r="M16" s="584">
        <v>9276306823</v>
      </c>
      <c r="N16" s="584">
        <v>0</v>
      </c>
      <c r="O16" s="584">
        <v>9740122164</v>
      </c>
      <c r="P16" s="584">
        <v>0</v>
      </c>
      <c r="Q16" s="584">
        <v>0</v>
      </c>
      <c r="R16" s="584">
        <v>0</v>
      </c>
      <c r="S16" s="582">
        <f t="shared" si="2"/>
        <v>19016428987</v>
      </c>
      <c r="T16" s="347" t="s">
        <v>1322</v>
      </c>
      <c r="U16" s="779">
        <f>+S16</f>
        <v>19016428987</v>
      </c>
      <c r="V16" s="422">
        <v>0</v>
      </c>
      <c r="W16" s="422">
        <v>0</v>
      </c>
      <c r="X16" s="720" t="s">
        <v>1265</v>
      </c>
    </row>
    <row r="17" spans="2:24" ht="307.5" customHeight="1">
      <c r="B17" s="954" t="s">
        <v>757</v>
      </c>
      <c r="C17" s="954" t="s">
        <v>859</v>
      </c>
      <c r="D17" s="954" t="s">
        <v>1440</v>
      </c>
      <c r="E17" s="886" t="s">
        <v>588</v>
      </c>
      <c r="F17" s="888" t="s">
        <v>1442</v>
      </c>
      <c r="G17" s="718">
        <v>1</v>
      </c>
      <c r="H17" s="776" t="s">
        <v>1443</v>
      </c>
      <c r="I17" s="606" t="s">
        <v>1352</v>
      </c>
      <c r="J17" s="718">
        <v>3</v>
      </c>
      <c r="K17" s="583">
        <f>11*((5641946*2+4325493)+7522595+2*2257824*(1+7.26%))</f>
        <v>307730104.4928</v>
      </c>
      <c r="L17" s="583"/>
      <c r="M17" s="583">
        <f>+K17*(1+9.5%)+1052094747</f>
        <v>1389059211.419616</v>
      </c>
      <c r="N17" s="726">
        <v>2116139534</v>
      </c>
      <c r="O17" s="583">
        <f>(M17*1.066*2)+1002361090+1234422448</f>
        <v>5198257776.7466221</v>
      </c>
      <c r="P17" s="583">
        <v>2660195242</v>
      </c>
      <c r="Q17" s="583">
        <f>(O17*1.04+373572283)+2657159659+1295613490</f>
        <v>9732533519.8164864</v>
      </c>
      <c r="R17" s="726">
        <v>171472726.32083333</v>
      </c>
      <c r="S17" s="581">
        <f t="shared" si="2"/>
        <v>21575388114.79636</v>
      </c>
      <c r="T17" s="409" t="s">
        <v>1452</v>
      </c>
      <c r="U17" s="580">
        <f>+S17-W17-V17</f>
        <v>9385929178.4755268</v>
      </c>
      <c r="V17" s="555">
        <f>+N17+P17+R17+1052094747+1234422448+1295613490</f>
        <v>8529938187.3208332</v>
      </c>
      <c r="W17" s="555">
        <f>1002361090+2657159659</f>
        <v>3659520749</v>
      </c>
      <c r="X17" s="720" t="s">
        <v>1265</v>
      </c>
    </row>
    <row r="18" spans="2:24" ht="38.25" hidden="1">
      <c r="B18" s="956"/>
      <c r="C18" s="956"/>
      <c r="D18" s="956"/>
      <c r="E18" s="904"/>
      <c r="F18" s="908"/>
      <c r="G18" s="718">
        <v>2</v>
      </c>
      <c r="H18" s="776" t="s">
        <v>1444</v>
      </c>
      <c r="I18" s="409" t="s">
        <v>1353</v>
      </c>
      <c r="J18" s="718">
        <v>3</v>
      </c>
      <c r="K18" s="583"/>
      <c r="L18" s="583"/>
      <c r="M18" s="583"/>
      <c r="N18" s="583"/>
      <c r="O18" s="583"/>
      <c r="P18" s="583"/>
      <c r="Q18" s="583"/>
      <c r="R18" s="583"/>
      <c r="S18" s="581">
        <f t="shared" si="2"/>
        <v>0</v>
      </c>
      <c r="T18" s="409"/>
      <c r="U18" s="580"/>
      <c r="V18" s="555">
        <v>0</v>
      </c>
      <c r="W18" s="555"/>
      <c r="X18" s="725" t="s">
        <v>1268</v>
      </c>
    </row>
    <row r="19" spans="2:24" ht="128.25">
      <c r="B19" s="747" t="s">
        <v>757</v>
      </c>
      <c r="C19" s="747" t="s">
        <v>1149</v>
      </c>
      <c r="D19" s="747" t="s">
        <v>1440</v>
      </c>
      <c r="E19" s="751" t="s">
        <v>589</v>
      </c>
      <c r="F19" s="638" t="s">
        <v>1368</v>
      </c>
      <c r="G19" s="344">
        <v>1</v>
      </c>
      <c r="H19" s="345" t="s">
        <v>593</v>
      </c>
      <c r="I19" s="347" t="s">
        <v>962</v>
      </c>
      <c r="J19" s="344">
        <v>3</v>
      </c>
      <c r="K19" s="584">
        <v>0</v>
      </c>
      <c r="L19" s="584">
        <v>0</v>
      </c>
      <c r="M19" s="584">
        <f>302967934*(1+8.5%)</f>
        <v>328720208.38999999</v>
      </c>
      <c r="N19" s="584">
        <f>140931349*(1+8.5%)</f>
        <v>152910513.66499999</v>
      </c>
      <c r="O19" s="584">
        <f>427875972*(1+5.6%)</f>
        <v>451837026.43200004</v>
      </c>
      <c r="P19" s="584">
        <f>294853396*(1+5.6%)</f>
        <v>311365186.176</v>
      </c>
      <c r="Q19" s="584">
        <f>580945307*(1+3%)+328720208</f>
        <v>927093874.21000004</v>
      </c>
      <c r="R19" s="584">
        <f>306034429*(1+3%)+152910514</f>
        <v>468125975.87</v>
      </c>
      <c r="S19" s="582">
        <f t="shared" si="2"/>
        <v>2640052784.743</v>
      </c>
      <c r="T19" s="789" t="s">
        <v>1449</v>
      </c>
      <c r="U19" s="779">
        <v>0</v>
      </c>
      <c r="V19" s="422">
        <v>0</v>
      </c>
      <c r="W19" s="422">
        <f>+S19</f>
        <v>2640052784.743</v>
      </c>
      <c r="X19" s="720" t="s">
        <v>1265</v>
      </c>
    </row>
    <row r="20" spans="2:24" ht="38.25" hidden="1" customHeight="1">
      <c r="B20" s="765" t="s">
        <v>1130</v>
      </c>
      <c r="C20" s="765" t="s">
        <v>1150</v>
      </c>
      <c r="D20" s="765" t="s">
        <v>1440</v>
      </c>
      <c r="E20" s="765" t="s">
        <v>591</v>
      </c>
      <c r="F20" s="770" t="s">
        <v>1295</v>
      </c>
      <c r="G20" s="718">
        <v>1</v>
      </c>
      <c r="H20" s="409" t="s">
        <v>565</v>
      </c>
      <c r="I20" s="409" t="s">
        <v>746</v>
      </c>
      <c r="J20" s="495">
        <v>1</v>
      </c>
      <c r="K20" s="583">
        <v>82748545</v>
      </c>
      <c r="L20" s="583">
        <v>0</v>
      </c>
      <c r="M20" s="583">
        <f>+K20*(1+9.5%)</f>
        <v>90609656.774999991</v>
      </c>
      <c r="N20" s="583">
        <v>0</v>
      </c>
      <c r="O20" s="583">
        <v>0</v>
      </c>
      <c r="P20" s="583">
        <v>0</v>
      </c>
      <c r="Q20" s="583">
        <v>0</v>
      </c>
      <c r="R20" s="583">
        <v>0</v>
      </c>
      <c r="S20" s="581">
        <f t="shared" si="2"/>
        <v>173358201.77499998</v>
      </c>
      <c r="T20" s="519" t="s">
        <v>1264</v>
      </c>
      <c r="U20" s="580">
        <f>+S20</f>
        <v>173358201.77499998</v>
      </c>
      <c r="V20" s="555">
        <v>0</v>
      </c>
      <c r="W20" s="555">
        <v>0</v>
      </c>
      <c r="X20" s="725" t="s">
        <v>1276</v>
      </c>
    </row>
    <row r="21" spans="2:24" ht="89.25">
      <c r="B21" s="747" t="s">
        <v>757</v>
      </c>
      <c r="C21" s="747" t="s">
        <v>865</v>
      </c>
      <c r="D21" s="747" t="s">
        <v>1440</v>
      </c>
      <c r="E21" s="751" t="s">
        <v>594</v>
      </c>
      <c r="F21" s="638" t="s">
        <v>596</v>
      </c>
      <c r="G21" s="626">
        <v>1</v>
      </c>
      <c r="H21" s="345" t="s">
        <v>1371</v>
      </c>
      <c r="I21" s="347" t="s">
        <v>1296</v>
      </c>
      <c r="J21" s="408">
        <v>1</v>
      </c>
      <c r="K21" s="584">
        <v>0</v>
      </c>
      <c r="L21" s="584">
        <v>0</v>
      </c>
      <c r="M21" s="584">
        <v>0</v>
      </c>
      <c r="N21" s="584">
        <v>0</v>
      </c>
      <c r="O21" s="584">
        <v>220376456.18716002</v>
      </c>
      <c r="P21" s="584">
        <v>0</v>
      </c>
      <c r="Q21" s="584">
        <f>+O21*(1+4%)</f>
        <v>229191514.43464643</v>
      </c>
      <c r="R21" s="584">
        <v>0</v>
      </c>
      <c r="S21" s="582">
        <f t="shared" si="2"/>
        <v>449567970.62180644</v>
      </c>
      <c r="T21" s="436" t="s">
        <v>1187</v>
      </c>
      <c r="U21" s="779">
        <v>0</v>
      </c>
      <c r="V21" s="422">
        <f>+S21</f>
        <v>449567970.62180644</v>
      </c>
      <c r="W21" s="422">
        <v>0</v>
      </c>
      <c r="X21" s="720" t="s">
        <v>1265</v>
      </c>
    </row>
    <row r="22" spans="2:24" ht="140.25">
      <c r="B22" s="954" t="s">
        <v>849</v>
      </c>
      <c r="C22" s="765" t="s">
        <v>883</v>
      </c>
      <c r="D22" s="954" t="s">
        <v>1440</v>
      </c>
      <c r="E22" s="886" t="s">
        <v>595</v>
      </c>
      <c r="F22" s="888" t="s">
        <v>1172</v>
      </c>
      <c r="G22" s="496">
        <v>1</v>
      </c>
      <c r="H22" s="504" t="s">
        <v>1297</v>
      </c>
      <c r="I22" s="506" t="s">
        <v>1298</v>
      </c>
      <c r="J22" s="505">
        <v>1</v>
      </c>
      <c r="K22" s="583">
        <v>0</v>
      </c>
      <c r="L22" s="583">
        <v>968000000</v>
      </c>
      <c r="M22" s="583">
        <v>0</v>
      </c>
      <c r="N22" s="583">
        <v>872000000</v>
      </c>
      <c r="O22" s="583">
        <v>0</v>
      </c>
      <c r="P22" s="583">
        <v>995000000</v>
      </c>
      <c r="Q22" s="583">
        <v>0</v>
      </c>
      <c r="R22" s="583">
        <v>0</v>
      </c>
      <c r="S22" s="581">
        <f t="shared" si="2"/>
        <v>2835000000</v>
      </c>
      <c r="T22" s="519" t="s">
        <v>1324</v>
      </c>
      <c r="U22" s="580">
        <f>+L22</f>
        <v>968000000</v>
      </c>
      <c r="V22" s="555">
        <f>+S22-U22</f>
        <v>1867000000</v>
      </c>
      <c r="W22" s="555">
        <v>0</v>
      </c>
      <c r="X22" s="720" t="s">
        <v>1265</v>
      </c>
    </row>
    <row r="23" spans="2:24" ht="89.25" hidden="1">
      <c r="B23" s="956"/>
      <c r="C23" s="765" t="s">
        <v>883</v>
      </c>
      <c r="D23" s="956"/>
      <c r="E23" s="887"/>
      <c r="F23" s="889"/>
      <c r="G23" s="718">
        <v>2</v>
      </c>
      <c r="H23" s="409" t="s">
        <v>851</v>
      </c>
      <c r="I23" s="509" t="s">
        <v>1056</v>
      </c>
      <c r="J23" s="505">
        <v>1</v>
      </c>
      <c r="K23" s="583">
        <f>1071179501</f>
        <v>1071179501</v>
      </c>
      <c r="L23" s="583">
        <v>0</v>
      </c>
      <c r="M23" s="583">
        <f>K23*(1+9.5%)</f>
        <v>1172941553.595</v>
      </c>
      <c r="N23" s="583">
        <v>0</v>
      </c>
      <c r="O23" s="583">
        <v>0</v>
      </c>
      <c r="P23" s="583">
        <v>0</v>
      </c>
      <c r="Q23" s="583">
        <v>0</v>
      </c>
      <c r="R23" s="583">
        <v>0</v>
      </c>
      <c r="S23" s="581">
        <f t="shared" si="2"/>
        <v>2244121054.5950003</v>
      </c>
      <c r="T23" s="409" t="s">
        <v>1259</v>
      </c>
      <c r="U23" s="580">
        <f>+S23</f>
        <v>2244121054.5950003</v>
      </c>
      <c r="V23" s="555">
        <v>0</v>
      </c>
      <c r="W23" s="555">
        <v>0</v>
      </c>
      <c r="X23" s="725" t="s">
        <v>1276</v>
      </c>
    </row>
    <row r="24" spans="2:24" ht="51" hidden="1" customHeight="1">
      <c r="B24" s="957" t="s">
        <v>1136</v>
      </c>
      <c r="C24" s="747" t="s">
        <v>866</v>
      </c>
      <c r="D24" s="957" t="s">
        <v>575</v>
      </c>
      <c r="E24" s="877" t="s">
        <v>600</v>
      </c>
      <c r="F24" s="880" t="s">
        <v>1299</v>
      </c>
      <c r="G24" s="626">
        <v>1</v>
      </c>
      <c r="H24" s="753" t="s">
        <v>601</v>
      </c>
      <c r="I24" s="771" t="s">
        <v>749</v>
      </c>
      <c r="J24" s="408">
        <v>1</v>
      </c>
      <c r="K24" s="585">
        <v>0</v>
      </c>
      <c r="L24" s="585">
        <v>0</v>
      </c>
      <c r="M24" s="585">
        <v>0</v>
      </c>
      <c r="N24" s="585">
        <v>0</v>
      </c>
      <c r="O24" s="585">
        <v>0</v>
      </c>
      <c r="P24" s="585">
        <v>0</v>
      </c>
      <c r="Q24" s="585">
        <v>0</v>
      </c>
      <c r="R24" s="585">
        <v>0</v>
      </c>
      <c r="S24" s="588">
        <f t="shared" si="2"/>
        <v>0</v>
      </c>
      <c r="T24" s="347" t="s">
        <v>1325</v>
      </c>
      <c r="U24" s="780">
        <v>0</v>
      </c>
      <c r="V24" s="435">
        <v>0</v>
      </c>
      <c r="W24" s="435">
        <v>0</v>
      </c>
      <c r="X24" s="725"/>
    </row>
    <row r="25" spans="2:24" ht="63.75" hidden="1">
      <c r="B25" s="958"/>
      <c r="C25" s="747" t="s">
        <v>866</v>
      </c>
      <c r="D25" s="958"/>
      <c r="E25" s="878"/>
      <c r="F25" s="881"/>
      <c r="G25" s="626">
        <v>2</v>
      </c>
      <c r="H25" s="753" t="s">
        <v>1300</v>
      </c>
      <c r="I25" s="771" t="s">
        <v>761</v>
      </c>
      <c r="J25" s="408">
        <v>1</v>
      </c>
      <c r="K25" s="585">
        <v>0</v>
      </c>
      <c r="L25" s="585">
        <v>0</v>
      </c>
      <c r="M25" s="585">
        <v>0</v>
      </c>
      <c r="N25" s="585">
        <v>0</v>
      </c>
      <c r="O25" s="585">
        <v>0</v>
      </c>
      <c r="P25" s="585">
        <v>0</v>
      </c>
      <c r="Q25" s="585">
        <v>0</v>
      </c>
      <c r="R25" s="585">
        <v>0</v>
      </c>
      <c r="S25" s="588">
        <f t="shared" si="2"/>
        <v>0</v>
      </c>
      <c r="T25" s="347" t="s">
        <v>1325</v>
      </c>
      <c r="U25" s="780">
        <v>0</v>
      </c>
      <c r="V25" s="435">
        <v>0</v>
      </c>
      <c r="W25" s="435">
        <v>0</v>
      </c>
      <c r="X25" s="725"/>
    </row>
    <row r="26" spans="2:24" ht="51" hidden="1">
      <c r="B26" s="959"/>
      <c r="C26" s="747" t="s">
        <v>866</v>
      </c>
      <c r="D26" s="959"/>
      <c r="E26" s="879"/>
      <c r="F26" s="882"/>
      <c r="G26" s="626">
        <v>3</v>
      </c>
      <c r="H26" s="753" t="s">
        <v>603</v>
      </c>
      <c r="I26" s="771" t="s">
        <v>1301</v>
      </c>
      <c r="J26" s="408">
        <v>1</v>
      </c>
      <c r="K26" s="585">
        <v>0</v>
      </c>
      <c r="L26" s="585">
        <v>0</v>
      </c>
      <c r="M26" s="585">
        <v>0</v>
      </c>
      <c r="N26" s="585">
        <v>0</v>
      </c>
      <c r="O26" s="585">
        <v>0</v>
      </c>
      <c r="P26" s="585">
        <v>0</v>
      </c>
      <c r="Q26" s="585">
        <v>0</v>
      </c>
      <c r="R26" s="585">
        <v>0</v>
      </c>
      <c r="S26" s="588">
        <f t="shared" si="2"/>
        <v>0</v>
      </c>
      <c r="T26" s="347" t="s">
        <v>1325</v>
      </c>
      <c r="U26" s="780">
        <v>0</v>
      </c>
      <c r="V26" s="435">
        <v>0</v>
      </c>
      <c r="W26" s="435">
        <v>0</v>
      </c>
      <c r="X26" s="725"/>
    </row>
    <row r="27" spans="2:24" ht="51" hidden="1" customHeight="1">
      <c r="B27" s="954" t="s">
        <v>1135</v>
      </c>
      <c r="C27" s="765" t="s">
        <v>1144</v>
      </c>
      <c r="D27" s="954" t="s">
        <v>575</v>
      </c>
      <c r="E27" s="886" t="s">
        <v>604</v>
      </c>
      <c r="F27" s="888" t="s">
        <v>609</v>
      </c>
      <c r="G27" s="718">
        <v>1</v>
      </c>
      <c r="H27" s="409" t="s">
        <v>1372</v>
      </c>
      <c r="I27" s="409" t="s">
        <v>1027</v>
      </c>
      <c r="J27" s="495">
        <v>1</v>
      </c>
      <c r="K27" s="583">
        <v>0</v>
      </c>
      <c r="L27" s="583">
        <v>0</v>
      </c>
      <c r="M27" s="583">
        <v>0</v>
      </c>
      <c r="N27" s="583">
        <v>0</v>
      </c>
      <c r="O27" s="583">
        <v>0</v>
      </c>
      <c r="P27" s="583">
        <v>0</v>
      </c>
      <c r="Q27" s="583">
        <v>0</v>
      </c>
      <c r="R27" s="583">
        <v>0</v>
      </c>
      <c r="S27" s="581">
        <f t="shared" si="2"/>
        <v>0</v>
      </c>
      <c r="T27" s="552" t="s">
        <v>1326</v>
      </c>
      <c r="U27" s="580">
        <v>0</v>
      </c>
      <c r="V27" s="555">
        <v>0</v>
      </c>
      <c r="W27" s="555">
        <v>0</v>
      </c>
      <c r="X27" s="725"/>
    </row>
    <row r="28" spans="2:24" ht="63.75" hidden="1">
      <c r="B28" s="956"/>
      <c r="C28" s="765" t="s">
        <v>1144</v>
      </c>
      <c r="D28" s="956"/>
      <c r="E28" s="887"/>
      <c r="F28" s="889"/>
      <c r="G28" s="718">
        <v>2</v>
      </c>
      <c r="H28" s="409" t="s">
        <v>867</v>
      </c>
      <c r="I28" s="409" t="s">
        <v>1028</v>
      </c>
      <c r="J28" s="495">
        <v>1</v>
      </c>
      <c r="K28" s="583">
        <v>0</v>
      </c>
      <c r="L28" s="583">
        <v>0</v>
      </c>
      <c r="M28" s="583">
        <v>0</v>
      </c>
      <c r="N28" s="583">
        <v>0</v>
      </c>
      <c r="O28" s="583">
        <v>0</v>
      </c>
      <c r="P28" s="583">
        <v>0</v>
      </c>
      <c r="Q28" s="583">
        <v>0</v>
      </c>
      <c r="R28" s="583">
        <v>0</v>
      </c>
      <c r="S28" s="581">
        <f t="shared" si="2"/>
        <v>0</v>
      </c>
      <c r="T28" s="552" t="s">
        <v>1326</v>
      </c>
      <c r="U28" s="580">
        <v>0</v>
      </c>
      <c r="V28" s="555">
        <v>0</v>
      </c>
      <c r="W28" s="555">
        <v>0</v>
      </c>
      <c r="X28" s="725"/>
    </row>
    <row r="29" spans="2:24" ht="99.75" hidden="1" customHeight="1">
      <c r="B29" s="957" t="s">
        <v>755</v>
      </c>
      <c r="C29" s="767" t="s">
        <v>885</v>
      </c>
      <c r="D29" s="957" t="s">
        <v>575</v>
      </c>
      <c r="E29" s="877" t="s">
        <v>605</v>
      </c>
      <c r="F29" s="880" t="s">
        <v>621</v>
      </c>
      <c r="G29" s="626">
        <v>1</v>
      </c>
      <c r="H29" s="753" t="s">
        <v>1029</v>
      </c>
      <c r="I29" s="384" t="s">
        <v>763</v>
      </c>
      <c r="J29" s="411">
        <v>0.5</v>
      </c>
      <c r="K29" s="585">
        <v>0</v>
      </c>
      <c r="L29" s="585">
        <v>0</v>
      </c>
      <c r="M29" s="585">
        <v>0</v>
      </c>
      <c r="N29" s="585">
        <v>0</v>
      </c>
      <c r="O29" s="585">
        <v>0</v>
      </c>
      <c r="P29" s="585">
        <v>0</v>
      </c>
      <c r="Q29" s="585">
        <v>0</v>
      </c>
      <c r="R29" s="585">
        <v>0</v>
      </c>
      <c r="S29" s="588">
        <f t="shared" si="2"/>
        <v>0</v>
      </c>
      <c r="T29" s="748" t="s">
        <v>1202</v>
      </c>
      <c r="U29" s="780">
        <v>0</v>
      </c>
      <c r="V29" s="435">
        <v>0</v>
      </c>
      <c r="W29" s="435">
        <v>0</v>
      </c>
      <c r="X29" s="725"/>
    </row>
    <row r="30" spans="2:24" ht="76.5" hidden="1">
      <c r="B30" s="959"/>
      <c r="C30" s="767" t="s">
        <v>885</v>
      </c>
      <c r="D30" s="959"/>
      <c r="E30" s="879"/>
      <c r="F30" s="882"/>
      <c r="G30" s="752">
        <v>2</v>
      </c>
      <c r="H30" s="753" t="s">
        <v>1030</v>
      </c>
      <c r="I30" s="347" t="s">
        <v>764</v>
      </c>
      <c r="J30" s="412">
        <v>0.3</v>
      </c>
      <c r="K30" s="585">
        <v>0</v>
      </c>
      <c r="L30" s="585">
        <v>0</v>
      </c>
      <c r="M30" s="585">
        <v>0</v>
      </c>
      <c r="N30" s="585">
        <v>0</v>
      </c>
      <c r="O30" s="585">
        <v>0</v>
      </c>
      <c r="P30" s="585">
        <v>0</v>
      </c>
      <c r="Q30" s="585">
        <v>0</v>
      </c>
      <c r="R30" s="585">
        <v>0</v>
      </c>
      <c r="S30" s="588">
        <f t="shared" si="2"/>
        <v>0</v>
      </c>
      <c r="T30" s="746" t="s">
        <v>1327</v>
      </c>
      <c r="U30" s="780">
        <v>0</v>
      </c>
      <c r="V30" s="435">
        <v>0</v>
      </c>
      <c r="W30" s="435">
        <v>0</v>
      </c>
      <c r="X30" s="725"/>
    </row>
    <row r="31" spans="2:24" ht="65.25" customHeight="1">
      <c r="B31" s="954" t="s">
        <v>755</v>
      </c>
      <c r="C31" s="765" t="s">
        <v>865</v>
      </c>
      <c r="D31" s="954" t="s">
        <v>575</v>
      </c>
      <c r="E31" s="886" t="s">
        <v>606</v>
      </c>
      <c r="F31" s="888" t="s">
        <v>719</v>
      </c>
      <c r="G31" s="718">
        <v>1</v>
      </c>
      <c r="H31" s="409" t="s">
        <v>1373</v>
      </c>
      <c r="I31" s="409" t="s">
        <v>1034</v>
      </c>
      <c r="J31" s="495">
        <v>1</v>
      </c>
      <c r="K31" s="583">
        <v>0</v>
      </c>
      <c r="L31" s="583">
        <v>0</v>
      </c>
      <c r="M31" s="583">
        <v>0</v>
      </c>
      <c r="N31" s="583">
        <v>0</v>
      </c>
      <c r="O31" s="583">
        <f>245762272+1073221086</f>
        <v>1318983358</v>
      </c>
      <c r="P31" s="583">
        <v>0</v>
      </c>
      <c r="Q31" s="583">
        <f>+O31*1.04</f>
        <v>1371742692.3199999</v>
      </c>
      <c r="R31" s="583">
        <v>0</v>
      </c>
      <c r="S31" s="581">
        <f t="shared" si="2"/>
        <v>2690726050.3199997</v>
      </c>
      <c r="T31" s="519" t="s">
        <v>1198</v>
      </c>
      <c r="U31" s="580">
        <v>0</v>
      </c>
      <c r="V31" s="555">
        <f>+S31</f>
        <v>2690726050.3199997</v>
      </c>
      <c r="W31" s="555">
        <v>0</v>
      </c>
      <c r="X31" s="720" t="s">
        <v>1265</v>
      </c>
    </row>
    <row r="32" spans="2:24" ht="38.25" hidden="1">
      <c r="B32" s="956"/>
      <c r="C32" s="765" t="s">
        <v>865</v>
      </c>
      <c r="D32" s="956"/>
      <c r="E32" s="887"/>
      <c r="F32" s="889"/>
      <c r="G32" s="718">
        <v>2</v>
      </c>
      <c r="H32" s="409" t="s">
        <v>751</v>
      </c>
      <c r="I32" s="409" t="s">
        <v>750</v>
      </c>
      <c r="J32" s="495">
        <v>1</v>
      </c>
      <c r="K32" s="583">
        <v>0</v>
      </c>
      <c r="L32" s="583">
        <v>0</v>
      </c>
      <c r="M32" s="583">
        <v>0</v>
      </c>
      <c r="N32" s="583">
        <v>0</v>
      </c>
      <c r="O32" s="583">
        <v>0</v>
      </c>
      <c r="P32" s="583">
        <v>0</v>
      </c>
      <c r="Q32" s="583">
        <v>0</v>
      </c>
      <c r="R32" s="583">
        <v>0</v>
      </c>
      <c r="S32" s="581">
        <f t="shared" si="2"/>
        <v>0</v>
      </c>
      <c r="T32" s="519" t="s">
        <v>1328</v>
      </c>
      <c r="U32" s="580">
        <v>0</v>
      </c>
      <c r="V32" s="555">
        <v>0</v>
      </c>
      <c r="W32" s="555">
        <v>0</v>
      </c>
      <c r="X32" s="725" t="s">
        <v>1276</v>
      </c>
    </row>
    <row r="33" spans="2:24" ht="51" hidden="1" customHeight="1">
      <c r="B33" s="957" t="s">
        <v>754</v>
      </c>
      <c r="C33" s="767" t="s">
        <v>865</v>
      </c>
      <c r="D33" s="957" t="s">
        <v>575</v>
      </c>
      <c r="E33" s="877" t="s">
        <v>607</v>
      </c>
      <c r="F33" s="880" t="s">
        <v>1302</v>
      </c>
      <c r="G33" s="626">
        <v>1</v>
      </c>
      <c r="H33" s="753" t="s">
        <v>1032</v>
      </c>
      <c r="I33" s="347" t="s">
        <v>1223</v>
      </c>
      <c r="J33" s="408">
        <v>1</v>
      </c>
      <c r="K33" s="585">
        <f>4039721152+834680185+532374911</f>
        <v>5406776248</v>
      </c>
      <c r="L33" s="585">
        <f>1152801000+267451847</f>
        <v>1420252847</v>
      </c>
      <c r="M33" s="584">
        <f>+K33*1.095</f>
        <v>5920419991.5599995</v>
      </c>
      <c r="N33" s="584">
        <v>0</v>
      </c>
      <c r="O33" s="584">
        <f>+M33*1.066</f>
        <v>6311167711.0029602</v>
      </c>
      <c r="P33" s="584">
        <v>0</v>
      </c>
      <c r="Q33" s="584">
        <f>+O33*1.04</f>
        <v>6563614419.443079</v>
      </c>
      <c r="R33" s="585">
        <v>0</v>
      </c>
      <c r="S33" s="588">
        <f t="shared" si="2"/>
        <v>25622231217.006035</v>
      </c>
      <c r="T33" s="436" t="s">
        <v>1260</v>
      </c>
      <c r="U33" s="780">
        <f>+S33</f>
        <v>25622231217.006035</v>
      </c>
      <c r="V33" s="435">
        <v>0</v>
      </c>
      <c r="W33" s="435">
        <v>0</v>
      </c>
      <c r="X33" s="725" t="s">
        <v>1275</v>
      </c>
    </row>
    <row r="34" spans="2:24" ht="63.75">
      <c r="B34" s="959"/>
      <c r="C34" s="767" t="s">
        <v>865</v>
      </c>
      <c r="D34" s="959"/>
      <c r="E34" s="879"/>
      <c r="F34" s="882"/>
      <c r="G34" s="626">
        <v>2</v>
      </c>
      <c r="H34" s="753" t="s">
        <v>1033</v>
      </c>
      <c r="I34" s="347" t="s">
        <v>1303</v>
      </c>
      <c r="J34" s="408">
        <v>0.5</v>
      </c>
      <c r="K34" s="584">
        <f>2571562921+209124281+205225901+30887032+30887032</f>
        <v>3047687167</v>
      </c>
      <c r="L34" s="584">
        <v>0</v>
      </c>
      <c r="M34" s="584">
        <f>+K34*1.095</f>
        <v>3337217447.8649998</v>
      </c>
      <c r="N34" s="584">
        <v>0</v>
      </c>
      <c r="O34" s="584">
        <f>+M34*1.066</f>
        <v>3557473799.4240899</v>
      </c>
      <c r="P34" s="584">
        <v>0</v>
      </c>
      <c r="Q34" s="584">
        <f>+O34*1.04</f>
        <v>3699772751.4010534</v>
      </c>
      <c r="R34" s="584">
        <v>0</v>
      </c>
      <c r="S34" s="582">
        <f t="shared" si="2"/>
        <v>13642151165.690144</v>
      </c>
      <c r="T34" s="347" t="s">
        <v>1261</v>
      </c>
      <c r="U34" s="779">
        <f>+S34</f>
        <v>13642151165.690144</v>
      </c>
      <c r="V34" s="422">
        <v>0</v>
      </c>
      <c r="W34" s="422">
        <v>0</v>
      </c>
      <c r="X34" s="720" t="s">
        <v>1265</v>
      </c>
    </row>
    <row r="35" spans="2:24" ht="51" customHeight="1">
      <c r="B35" s="954" t="s">
        <v>754</v>
      </c>
      <c r="C35" s="765" t="s">
        <v>1151</v>
      </c>
      <c r="D35" s="954" t="s">
        <v>575</v>
      </c>
      <c r="E35" s="886" t="s">
        <v>608</v>
      </c>
      <c r="F35" s="888" t="s">
        <v>1304</v>
      </c>
      <c r="G35" s="718">
        <v>1</v>
      </c>
      <c r="H35" s="409" t="s">
        <v>1000</v>
      </c>
      <c r="I35" s="515" t="s">
        <v>1005</v>
      </c>
      <c r="J35" s="514">
        <v>1</v>
      </c>
      <c r="K35" s="583">
        <f>190321692+72066769</f>
        <v>262388461</v>
      </c>
      <c r="L35" s="583">
        <v>0</v>
      </c>
      <c r="M35" s="583">
        <f>+K35*1.095</f>
        <v>287315364.79500002</v>
      </c>
      <c r="N35" s="583">
        <v>0</v>
      </c>
      <c r="O35" s="583">
        <f>+M35*1.066</f>
        <v>306278178.87147003</v>
      </c>
      <c r="P35" s="583">
        <v>0</v>
      </c>
      <c r="Q35" s="583">
        <f>+O35*1.04</f>
        <v>318529306.02632886</v>
      </c>
      <c r="R35" s="583">
        <v>0</v>
      </c>
      <c r="S35" s="581">
        <f t="shared" si="2"/>
        <v>1174511310.6927989</v>
      </c>
      <c r="T35" s="409" t="s">
        <v>1188</v>
      </c>
      <c r="U35" s="580">
        <f>+S35</f>
        <v>1174511310.6927989</v>
      </c>
      <c r="V35" s="555">
        <v>0</v>
      </c>
      <c r="W35" s="555">
        <v>0</v>
      </c>
      <c r="X35" s="720" t="s">
        <v>1265</v>
      </c>
    </row>
    <row r="36" spans="2:24" ht="51" hidden="1">
      <c r="B36" s="955"/>
      <c r="C36" s="765" t="s">
        <v>1151</v>
      </c>
      <c r="D36" s="955"/>
      <c r="E36" s="904"/>
      <c r="F36" s="908"/>
      <c r="G36" s="718">
        <v>2</v>
      </c>
      <c r="H36" s="409" t="s">
        <v>1001</v>
      </c>
      <c r="I36" s="409" t="s">
        <v>1069</v>
      </c>
      <c r="J36" s="495">
        <v>1</v>
      </c>
      <c r="K36" s="583">
        <f>190321692+72066769</f>
        <v>262388461</v>
      </c>
      <c r="L36" s="583">
        <v>0</v>
      </c>
      <c r="M36" s="583">
        <f>+K36*1.095</f>
        <v>287315364.79500002</v>
      </c>
      <c r="N36" s="583">
        <v>0</v>
      </c>
      <c r="O36" s="583">
        <f>+M36*1.066</f>
        <v>306278178.87147003</v>
      </c>
      <c r="P36" s="583">
        <v>0</v>
      </c>
      <c r="Q36" s="583">
        <f>+O36*1.04</f>
        <v>318529306.02632886</v>
      </c>
      <c r="R36" s="583">
        <v>0</v>
      </c>
      <c r="S36" s="581">
        <f t="shared" si="2"/>
        <v>1174511310.6927989</v>
      </c>
      <c r="T36" s="409" t="s">
        <v>1188</v>
      </c>
      <c r="U36" s="580">
        <f>+S36</f>
        <v>1174511310.6927989</v>
      </c>
      <c r="V36" s="555">
        <v>0</v>
      </c>
      <c r="W36" s="555">
        <v>0</v>
      </c>
      <c r="X36" s="725" t="s">
        <v>1284</v>
      </c>
    </row>
    <row r="37" spans="2:24" ht="102">
      <c r="B37" s="956"/>
      <c r="C37" s="765" t="s">
        <v>1151</v>
      </c>
      <c r="D37" s="956"/>
      <c r="E37" s="887"/>
      <c r="F37" s="889"/>
      <c r="G37" s="750">
        <v>3</v>
      </c>
      <c r="H37" s="519" t="s">
        <v>1002</v>
      </c>
      <c r="I37" s="759" t="s">
        <v>1068</v>
      </c>
      <c r="J37" s="520">
        <v>1</v>
      </c>
      <c r="K37" s="583">
        <v>0</v>
      </c>
      <c r="L37" s="583">
        <v>0</v>
      </c>
      <c r="M37" s="583">
        <v>0</v>
      </c>
      <c r="N37" s="583">
        <v>0</v>
      </c>
      <c r="O37" s="583">
        <v>0</v>
      </c>
      <c r="P37" s="583">
        <v>79800000</v>
      </c>
      <c r="Q37" s="583">
        <v>0</v>
      </c>
      <c r="R37" s="583">
        <v>0</v>
      </c>
      <c r="S37" s="581">
        <f t="shared" si="2"/>
        <v>79800000</v>
      </c>
      <c r="T37" s="409" t="s">
        <v>1329</v>
      </c>
      <c r="U37" s="580">
        <v>0</v>
      </c>
      <c r="V37" s="555">
        <f>+S37</f>
        <v>79800000</v>
      </c>
      <c r="W37" s="555">
        <v>0</v>
      </c>
      <c r="X37" s="720" t="s">
        <v>1265</v>
      </c>
    </row>
    <row r="38" spans="2:24" ht="51" customHeight="1">
      <c r="B38" s="957" t="s">
        <v>754</v>
      </c>
      <c r="C38" s="767" t="s">
        <v>1148</v>
      </c>
      <c r="D38" s="957" t="s">
        <v>575</v>
      </c>
      <c r="E38" s="957" t="s">
        <v>610</v>
      </c>
      <c r="F38" s="967" t="s">
        <v>884</v>
      </c>
      <c r="G38" s="434">
        <v>1</v>
      </c>
      <c r="H38" s="347" t="s">
        <v>1035</v>
      </c>
      <c r="I38" s="347" t="s">
        <v>752</v>
      </c>
      <c r="J38" s="408">
        <v>1</v>
      </c>
      <c r="K38" s="584">
        <f>1220989779+158573161+134431153</f>
        <v>1513994093</v>
      </c>
      <c r="L38" s="584">
        <v>0</v>
      </c>
      <c r="M38" s="584">
        <f>1220989779+(158573161*2)*1.095</f>
        <v>1568265001.5899999</v>
      </c>
      <c r="N38" s="584">
        <v>0</v>
      </c>
      <c r="O38" s="584">
        <v>0</v>
      </c>
      <c r="P38" s="584">
        <v>0</v>
      </c>
      <c r="Q38" s="584">
        <v>0</v>
      </c>
      <c r="R38" s="584">
        <v>0</v>
      </c>
      <c r="S38" s="582">
        <f t="shared" si="2"/>
        <v>3082259094.5900002</v>
      </c>
      <c r="T38" s="753" t="s">
        <v>1262</v>
      </c>
      <c r="U38" s="779">
        <f t="shared" ref="U38:U43" si="4">+S38</f>
        <v>3082259094.5900002</v>
      </c>
      <c r="V38" s="422">
        <v>0</v>
      </c>
      <c r="W38" s="422">
        <v>0</v>
      </c>
      <c r="X38" s="720" t="s">
        <v>1265</v>
      </c>
    </row>
    <row r="39" spans="2:24" ht="38.25" hidden="1">
      <c r="B39" s="959"/>
      <c r="C39" s="768"/>
      <c r="D39" s="959"/>
      <c r="E39" s="959"/>
      <c r="F39" s="968"/>
      <c r="G39" s="434">
        <v>2</v>
      </c>
      <c r="H39" s="347" t="s">
        <v>1036</v>
      </c>
      <c r="I39" s="347" t="s">
        <v>1306</v>
      </c>
      <c r="J39" s="408">
        <v>0.5</v>
      </c>
      <c r="K39" s="584">
        <v>0</v>
      </c>
      <c r="L39" s="584">
        <v>0</v>
      </c>
      <c r="M39" s="584">
        <f>1220989779+(158573161*2)*1.095</f>
        <v>1568265001.5899999</v>
      </c>
      <c r="N39" s="584">
        <v>0</v>
      </c>
      <c r="O39" s="584">
        <f>+M39*1.066</f>
        <v>1671770491.6949401</v>
      </c>
      <c r="P39" s="584">
        <v>0</v>
      </c>
      <c r="Q39" s="584">
        <f>+O39*1.04</f>
        <v>1738641311.3627377</v>
      </c>
      <c r="R39" s="584">
        <v>0</v>
      </c>
      <c r="S39" s="582">
        <f t="shared" si="2"/>
        <v>4978676804.6476774</v>
      </c>
      <c r="T39" s="778" t="s">
        <v>1196</v>
      </c>
      <c r="U39" s="779">
        <f t="shared" si="4"/>
        <v>4978676804.6476774</v>
      </c>
      <c r="V39" s="422">
        <v>0</v>
      </c>
      <c r="W39" s="422">
        <v>0</v>
      </c>
      <c r="X39" s="725" t="s">
        <v>1281</v>
      </c>
    </row>
    <row r="40" spans="2:24" ht="114.75" hidden="1" customHeight="1">
      <c r="B40" s="954" t="s">
        <v>1129</v>
      </c>
      <c r="C40" s="575" t="s">
        <v>873</v>
      </c>
      <c r="D40" s="954" t="s">
        <v>252</v>
      </c>
      <c r="E40" s="886" t="s">
        <v>611</v>
      </c>
      <c r="F40" s="888" t="s">
        <v>1060</v>
      </c>
      <c r="G40" s="718">
        <v>1</v>
      </c>
      <c r="H40" s="409" t="s">
        <v>1018</v>
      </c>
      <c r="I40" s="409" t="s">
        <v>1307</v>
      </c>
      <c r="J40" s="495">
        <v>1</v>
      </c>
      <c r="K40" s="583">
        <f t="shared" ref="K40:K43" si="5">400778000+189911725</f>
        <v>590689725</v>
      </c>
      <c r="L40" s="583">
        <v>3323050000</v>
      </c>
      <c r="M40" s="583">
        <f t="shared" ref="M40:M43" si="6">(400778000+189911725*1.095)</f>
        <v>608731338.875</v>
      </c>
      <c r="N40" s="583">
        <v>2618000000</v>
      </c>
      <c r="O40" s="583">
        <f t="shared" ref="O40:O43" si="7">(400778000+189911725*1.095*1.066)</f>
        <v>622456259.24075007</v>
      </c>
      <c r="P40" s="583">
        <v>4546000000</v>
      </c>
      <c r="Q40" s="583">
        <f t="shared" ref="Q40:Q43" si="8">(400778000+189911725*1.095*1.066*1.04)</f>
        <v>631323389.61038005</v>
      </c>
      <c r="R40" s="583">
        <v>0</v>
      </c>
      <c r="S40" s="581">
        <f t="shared" si="2"/>
        <v>12940250712.72613</v>
      </c>
      <c r="T40" s="409" t="s">
        <v>1330</v>
      </c>
      <c r="U40" s="580">
        <f t="shared" si="4"/>
        <v>12940250712.72613</v>
      </c>
      <c r="V40" s="555">
        <v>0</v>
      </c>
      <c r="W40" s="555">
        <v>0</v>
      </c>
      <c r="X40" s="725" t="s">
        <v>1280</v>
      </c>
    </row>
    <row r="41" spans="2:24" ht="114.75" hidden="1">
      <c r="B41" s="955"/>
      <c r="C41" s="575" t="s">
        <v>873</v>
      </c>
      <c r="D41" s="955"/>
      <c r="E41" s="904"/>
      <c r="F41" s="908"/>
      <c r="G41" s="718">
        <v>2</v>
      </c>
      <c r="H41" s="409" t="s">
        <v>1061</v>
      </c>
      <c r="I41" s="409" t="s">
        <v>832</v>
      </c>
      <c r="J41" s="495">
        <v>1</v>
      </c>
      <c r="K41" s="583">
        <f t="shared" si="5"/>
        <v>590689725</v>
      </c>
      <c r="L41" s="583">
        <v>3323050000</v>
      </c>
      <c r="M41" s="583">
        <f t="shared" si="6"/>
        <v>608731338.875</v>
      </c>
      <c r="N41" s="583">
        <v>2618000000</v>
      </c>
      <c r="O41" s="583">
        <f t="shared" si="7"/>
        <v>622456259.24075007</v>
      </c>
      <c r="P41" s="583">
        <v>4546000000</v>
      </c>
      <c r="Q41" s="583">
        <f t="shared" si="8"/>
        <v>631323389.61038005</v>
      </c>
      <c r="R41" s="583">
        <v>0</v>
      </c>
      <c r="S41" s="581">
        <f t="shared" si="2"/>
        <v>12940250712.72613</v>
      </c>
      <c r="T41" s="409" t="s">
        <v>1330</v>
      </c>
      <c r="U41" s="580">
        <f t="shared" si="4"/>
        <v>12940250712.72613</v>
      </c>
      <c r="V41" s="555">
        <v>0</v>
      </c>
      <c r="W41" s="555">
        <v>0</v>
      </c>
      <c r="X41" s="725" t="s">
        <v>1280</v>
      </c>
    </row>
    <row r="42" spans="2:24" ht="114.75" hidden="1">
      <c r="B42" s="956"/>
      <c r="C42" s="575" t="s">
        <v>874</v>
      </c>
      <c r="D42" s="956"/>
      <c r="E42" s="887"/>
      <c r="F42" s="889"/>
      <c r="G42" s="718">
        <v>3</v>
      </c>
      <c r="H42" s="782" t="s">
        <v>1354</v>
      </c>
      <c r="I42" s="783" t="s">
        <v>1355</v>
      </c>
      <c r="J42" s="784">
        <v>3</v>
      </c>
      <c r="K42" s="583">
        <f t="shared" si="5"/>
        <v>590689725</v>
      </c>
      <c r="L42" s="583">
        <v>3323050000</v>
      </c>
      <c r="M42" s="583">
        <f t="shared" si="6"/>
        <v>608731338.875</v>
      </c>
      <c r="N42" s="583">
        <v>2618000000</v>
      </c>
      <c r="O42" s="583">
        <f t="shared" si="7"/>
        <v>622456259.24075007</v>
      </c>
      <c r="P42" s="583">
        <v>4546000000</v>
      </c>
      <c r="Q42" s="583">
        <f t="shared" si="8"/>
        <v>631323389.61038005</v>
      </c>
      <c r="R42" s="583">
        <v>0</v>
      </c>
      <c r="S42" s="581">
        <f t="shared" si="2"/>
        <v>12940250712.72613</v>
      </c>
      <c r="T42" s="409" t="s">
        <v>1330</v>
      </c>
      <c r="U42" s="580">
        <f t="shared" si="4"/>
        <v>12940250712.72613</v>
      </c>
      <c r="V42" s="555">
        <v>0</v>
      </c>
      <c r="W42" s="555">
        <v>0</v>
      </c>
      <c r="X42" s="725" t="s">
        <v>1280</v>
      </c>
    </row>
    <row r="43" spans="2:24" ht="114.75" hidden="1">
      <c r="B43" s="747" t="s">
        <v>768</v>
      </c>
      <c r="C43" s="415" t="s">
        <v>875</v>
      </c>
      <c r="D43" s="747" t="s">
        <v>252</v>
      </c>
      <c r="E43" s="751" t="s">
        <v>612</v>
      </c>
      <c r="F43" s="772" t="s">
        <v>567</v>
      </c>
      <c r="G43" s="773">
        <v>1</v>
      </c>
      <c r="H43" s="753" t="s">
        <v>568</v>
      </c>
      <c r="I43" s="414" t="s">
        <v>767</v>
      </c>
      <c r="J43" s="413">
        <v>1</v>
      </c>
      <c r="K43" s="584">
        <f t="shared" si="5"/>
        <v>590689725</v>
      </c>
      <c r="L43" s="584">
        <v>3323050000</v>
      </c>
      <c r="M43" s="584">
        <f t="shared" si="6"/>
        <v>608731338.875</v>
      </c>
      <c r="N43" s="584">
        <v>2618000000</v>
      </c>
      <c r="O43" s="584">
        <f t="shared" si="7"/>
        <v>622456259.24075007</v>
      </c>
      <c r="P43" s="584">
        <v>4546000000</v>
      </c>
      <c r="Q43" s="584">
        <f t="shared" si="8"/>
        <v>631323389.61038005</v>
      </c>
      <c r="R43" s="584">
        <v>0</v>
      </c>
      <c r="S43" s="582">
        <f t="shared" si="2"/>
        <v>12940250712.72613</v>
      </c>
      <c r="T43" s="347" t="s">
        <v>1330</v>
      </c>
      <c r="U43" s="780">
        <f t="shared" si="4"/>
        <v>12940250712.72613</v>
      </c>
      <c r="V43" s="422">
        <v>0</v>
      </c>
      <c r="W43" s="422">
        <v>0</v>
      </c>
      <c r="X43" s="725" t="s">
        <v>1280</v>
      </c>
    </row>
    <row r="44" spans="2:24" ht="127.5" customHeight="1">
      <c r="B44" s="954" t="s">
        <v>1133</v>
      </c>
      <c r="C44" s="765" t="s">
        <v>1139</v>
      </c>
      <c r="D44" s="954" t="s">
        <v>252</v>
      </c>
      <c r="E44" s="886" t="s">
        <v>613</v>
      </c>
      <c r="F44" s="888" t="s">
        <v>1062</v>
      </c>
      <c r="G44" s="914">
        <v>1</v>
      </c>
      <c r="H44" s="917" t="s">
        <v>771</v>
      </c>
      <c r="I44" s="525" t="s">
        <v>1308</v>
      </c>
      <c r="J44" s="505">
        <v>1</v>
      </c>
      <c r="K44" s="583">
        <f>1797011675+(((147839978.88)*1+7.26%))</f>
        <v>1944851653.9526</v>
      </c>
      <c r="L44" s="583">
        <v>0</v>
      </c>
      <c r="M44" s="583">
        <f t="shared" ref="M44:M49" si="9">+K44*1.095</f>
        <v>2129612561.0780969</v>
      </c>
      <c r="N44" s="583">
        <v>0</v>
      </c>
      <c r="O44" s="583">
        <f t="shared" ref="O44:O49" si="10">+M44*1.066</f>
        <v>2270166990.1092515</v>
      </c>
      <c r="P44" s="583">
        <v>0</v>
      </c>
      <c r="Q44" s="583">
        <f t="shared" ref="Q44:Q49" si="11">+O44*1.04</f>
        <v>2360973669.7136216</v>
      </c>
      <c r="R44" s="583">
        <v>0</v>
      </c>
      <c r="S44" s="581">
        <f t="shared" si="2"/>
        <v>8705604874.853569</v>
      </c>
      <c r="T44" s="409" t="s">
        <v>1331</v>
      </c>
      <c r="U44" s="580">
        <f>+K44+M44+O44+Q44</f>
        <v>8705604874.853569</v>
      </c>
      <c r="V44" s="555">
        <v>0</v>
      </c>
      <c r="W44" s="555">
        <f t="shared" ref="W44:W53" si="12">+S44-U44</f>
        <v>0</v>
      </c>
      <c r="X44" s="720" t="s">
        <v>1286</v>
      </c>
    </row>
    <row r="45" spans="2:24" ht="114.75">
      <c r="B45" s="955"/>
      <c r="C45" s="765" t="s">
        <v>1139</v>
      </c>
      <c r="D45" s="955"/>
      <c r="E45" s="904"/>
      <c r="F45" s="908"/>
      <c r="G45" s="915"/>
      <c r="H45" s="918"/>
      <c r="I45" s="525" t="s">
        <v>1309</v>
      </c>
      <c r="J45" s="505">
        <v>0.95</v>
      </c>
      <c r="K45" s="583">
        <f>474530000+((177057358.08)*1+7.26%)</f>
        <v>651587358.15260005</v>
      </c>
      <c r="L45" s="583">
        <v>3323050000</v>
      </c>
      <c r="M45" s="583">
        <f t="shared" si="9"/>
        <v>713488157.17709708</v>
      </c>
      <c r="N45" s="583">
        <v>2618000000</v>
      </c>
      <c r="O45" s="583">
        <f t="shared" si="10"/>
        <v>760578375.55078554</v>
      </c>
      <c r="P45" s="583">
        <v>4546000000</v>
      </c>
      <c r="Q45" s="583">
        <f t="shared" si="11"/>
        <v>791001510.57281697</v>
      </c>
      <c r="R45" s="583">
        <v>0</v>
      </c>
      <c r="S45" s="581">
        <f t="shared" si="2"/>
        <v>13403705401.4533</v>
      </c>
      <c r="T45" s="409" t="s">
        <v>1332</v>
      </c>
      <c r="U45" s="580">
        <f>+S45</f>
        <v>13403705401.4533</v>
      </c>
      <c r="V45" s="555">
        <v>0</v>
      </c>
      <c r="W45" s="555">
        <v>0</v>
      </c>
      <c r="X45" s="720" t="s">
        <v>1271</v>
      </c>
    </row>
    <row r="46" spans="2:24" ht="216.75" hidden="1">
      <c r="B46" s="955"/>
      <c r="C46" s="765" t="s">
        <v>1139</v>
      </c>
      <c r="D46" s="955"/>
      <c r="E46" s="904"/>
      <c r="F46" s="908"/>
      <c r="G46" s="915"/>
      <c r="H46" s="918"/>
      <c r="I46" s="523" t="s">
        <v>1310</v>
      </c>
      <c r="J46" s="531" t="s">
        <v>1020</v>
      </c>
      <c r="K46" s="583">
        <f>474530000+((177057358.08)*1+7.26%)</f>
        <v>651587358.15260005</v>
      </c>
      <c r="L46" s="583">
        <v>3323050000</v>
      </c>
      <c r="M46" s="583">
        <f t="shared" si="9"/>
        <v>713488157.17709708</v>
      </c>
      <c r="N46" s="583">
        <v>2618000000</v>
      </c>
      <c r="O46" s="583">
        <f t="shared" si="10"/>
        <v>760578375.55078554</v>
      </c>
      <c r="P46" s="583">
        <v>4546000000</v>
      </c>
      <c r="Q46" s="583">
        <f t="shared" si="11"/>
        <v>791001510.57281697</v>
      </c>
      <c r="R46" s="583">
        <v>0</v>
      </c>
      <c r="S46" s="581">
        <f t="shared" si="2"/>
        <v>13403705401.4533</v>
      </c>
      <c r="T46" s="409" t="s">
        <v>1332</v>
      </c>
      <c r="U46" s="580">
        <f>+S46</f>
        <v>13403705401.4533</v>
      </c>
      <c r="V46" s="555">
        <v>0</v>
      </c>
      <c r="W46" s="555">
        <v>0</v>
      </c>
      <c r="X46" s="725" t="s">
        <v>1280</v>
      </c>
    </row>
    <row r="47" spans="2:24" ht="114.75" hidden="1">
      <c r="B47" s="955"/>
      <c r="C47" s="765" t="s">
        <v>1139</v>
      </c>
      <c r="D47" s="955"/>
      <c r="E47" s="904"/>
      <c r="F47" s="908"/>
      <c r="G47" s="915"/>
      <c r="H47" s="918"/>
      <c r="I47" s="523" t="s">
        <v>1311</v>
      </c>
      <c r="J47" s="521">
        <v>1</v>
      </c>
      <c r="K47" s="583">
        <f>474530000+((177057358.08)*1+7.26%)</f>
        <v>651587358.15260005</v>
      </c>
      <c r="L47" s="583">
        <v>3323050000</v>
      </c>
      <c r="M47" s="583">
        <f t="shared" si="9"/>
        <v>713488157.17709708</v>
      </c>
      <c r="N47" s="583">
        <v>2618000000</v>
      </c>
      <c r="O47" s="583">
        <f t="shared" si="10"/>
        <v>760578375.55078554</v>
      </c>
      <c r="P47" s="583">
        <v>4546000000</v>
      </c>
      <c r="Q47" s="583">
        <f t="shared" si="11"/>
        <v>791001510.57281697</v>
      </c>
      <c r="R47" s="583">
        <v>0</v>
      </c>
      <c r="S47" s="581">
        <f t="shared" si="2"/>
        <v>13403705401.4533</v>
      </c>
      <c r="T47" s="409" t="s">
        <v>1332</v>
      </c>
      <c r="U47" s="580">
        <f>+S47</f>
        <v>13403705401.4533</v>
      </c>
      <c r="V47" s="555">
        <v>0</v>
      </c>
      <c r="W47" s="555">
        <v>0</v>
      </c>
      <c r="X47" s="725" t="s">
        <v>1280</v>
      </c>
    </row>
    <row r="48" spans="2:24" ht="127.5" hidden="1">
      <c r="B48" s="955"/>
      <c r="C48" s="765" t="s">
        <v>1139</v>
      </c>
      <c r="D48" s="955"/>
      <c r="E48" s="904"/>
      <c r="F48" s="908"/>
      <c r="G48" s="915"/>
      <c r="H48" s="918"/>
      <c r="I48" s="523" t="s">
        <v>1066</v>
      </c>
      <c r="J48" s="521">
        <v>0.15</v>
      </c>
      <c r="K48" s="583">
        <f>1319139643+1797011675+474530000+(((147839978.88*2)+177057358.08)*1+7.26%)</f>
        <v>4063418633.9126</v>
      </c>
      <c r="L48" s="583">
        <v>3323050000</v>
      </c>
      <c r="M48" s="583">
        <f t="shared" si="9"/>
        <v>4449443404.1342974</v>
      </c>
      <c r="N48" s="583">
        <v>2618000000</v>
      </c>
      <c r="O48" s="583">
        <f t="shared" si="10"/>
        <v>4743106668.8071613</v>
      </c>
      <c r="P48" s="583">
        <v>4546000000</v>
      </c>
      <c r="Q48" s="583">
        <f t="shared" si="11"/>
        <v>4932830935.5594482</v>
      </c>
      <c r="R48" s="583">
        <v>0</v>
      </c>
      <c r="S48" s="581">
        <f t="shared" si="2"/>
        <v>28675849642.413506</v>
      </c>
      <c r="T48" s="409" t="s">
        <v>1331</v>
      </c>
      <c r="U48" s="580">
        <f>+S48</f>
        <v>28675849642.413506</v>
      </c>
      <c r="V48" s="555">
        <v>0</v>
      </c>
      <c r="W48" s="555">
        <v>0</v>
      </c>
      <c r="X48" s="725" t="s">
        <v>1280</v>
      </c>
    </row>
    <row r="49" spans="2:24" ht="127.5" hidden="1">
      <c r="B49" s="956"/>
      <c r="C49" s="765" t="s">
        <v>1139</v>
      </c>
      <c r="D49" s="956"/>
      <c r="E49" s="887"/>
      <c r="F49" s="889"/>
      <c r="G49" s="916"/>
      <c r="H49" s="919"/>
      <c r="I49" s="523" t="s">
        <v>1313</v>
      </c>
      <c r="J49" s="533">
        <v>12</v>
      </c>
      <c r="K49" s="583">
        <f>474530000+((177057358.08)*1+7.26%)</f>
        <v>651587358.15260005</v>
      </c>
      <c r="L49" s="583">
        <v>3323050000</v>
      </c>
      <c r="M49" s="583">
        <f t="shared" si="9"/>
        <v>713488157.17709708</v>
      </c>
      <c r="N49" s="583">
        <v>2618000000</v>
      </c>
      <c r="O49" s="583">
        <f t="shared" si="10"/>
        <v>760578375.55078554</v>
      </c>
      <c r="P49" s="583">
        <v>4546000000</v>
      </c>
      <c r="Q49" s="583">
        <f t="shared" si="11"/>
        <v>791001510.57281697</v>
      </c>
      <c r="R49" s="583">
        <v>0</v>
      </c>
      <c r="S49" s="581">
        <f t="shared" si="2"/>
        <v>13403705401.4533</v>
      </c>
      <c r="T49" s="409" t="s">
        <v>1333</v>
      </c>
      <c r="U49" s="580">
        <f>+S49</f>
        <v>13403705401.4533</v>
      </c>
      <c r="V49" s="555">
        <v>0</v>
      </c>
      <c r="W49" s="555">
        <v>0</v>
      </c>
      <c r="X49" s="725" t="s">
        <v>1280</v>
      </c>
    </row>
    <row r="50" spans="2:24" ht="140.25" customHeight="1">
      <c r="B50" s="957" t="s">
        <v>768</v>
      </c>
      <c r="C50" s="767" t="s">
        <v>1140</v>
      </c>
      <c r="D50" s="957" t="s">
        <v>252</v>
      </c>
      <c r="E50" s="877" t="s">
        <v>614</v>
      </c>
      <c r="F50" s="909" t="s">
        <v>617</v>
      </c>
      <c r="G50" s="911">
        <v>1</v>
      </c>
      <c r="H50" s="913" t="s">
        <v>529</v>
      </c>
      <c r="I50" s="345" t="s">
        <v>1071</v>
      </c>
      <c r="J50" s="344">
        <v>35</v>
      </c>
      <c r="K50" s="585">
        <f>723799877+((177057358.08)*1+7.26%)</f>
        <v>900857235.15260005</v>
      </c>
      <c r="L50" s="585">
        <v>0</v>
      </c>
      <c r="M50" s="584">
        <f>(400778000+189911725*1.095)</f>
        <v>608731338.875</v>
      </c>
      <c r="N50" s="585">
        <v>0</v>
      </c>
      <c r="O50" s="585">
        <f>(400778000+189911725*1.095*1.066)</f>
        <v>622456259.24075007</v>
      </c>
      <c r="P50" s="585">
        <v>0</v>
      </c>
      <c r="Q50" s="584">
        <f>(400778000+189911725*1.095*1.066*1.04)</f>
        <v>631323389.61038005</v>
      </c>
      <c r="R50" s="584">
        <v>0</v>
      </c>
      <c r="S50" s="582">
        <f t="shared" si="2"/>
        <v>2763368222.8787303</v>
      </c>
      <c r="T50" s="347" t="s">
        <v>1334</v>
      </c>
      <c r="U50" s="779">
        <f>+K50+L50+M50+O50+Q50</f>
        <v>2763368222.8787303</v>
      </c>
      <c r="V50" s="422">
        <v>0</v>
      </c>
      <c r="W50" s="422">
        <f t="shared" si="12"/>
        <v>0</v>
      </c>
      <c r="X50" s="720" t="s">
        <v>1277</v>
      </c>
    </row>
    <row r="51" spans="2:24" ht="114.75" hidden="1">
      <c r="B51" s="958"/>
      <c r="C51" s="767" t="s">
        <v>1140</v>
      </c>
      <c r="D51" s="958"/>
      <c r="E51" s="878"/>
      <c r="F51" s="910"/>
      <c r="G51" s="912"/>
      <c r="H51" s="913"/>
      <c r="I51" s="345" t="s">
        <v>1314</v>
      </c>
      <c r="J51" s="786">
        <v>11</v>
      </c>
      <c r="K51" s="584">
        <f>400778000+189911725</f>
        <v>590689725</v>
      </c>
      <c r="L51" s="585">
        <v>3323050000</v>
      </c>
      <c r="M51" s="584">
        <f>(400778000+189911725*1.095)</f>
        <v>608731338.875</v>
      </c>
      <c r="N51" s="585">
        <v>2618000000</v>
      </c>
      <c r="O51" s="584">
        <f>(400778000+189911725*1.095*1.066)</f>
        <v>622456259.24075007</v>
      </c>
      <c r="P51" s="585">
        <v>4546000000</v>
      </c>
      <c r="Q51" s="584">
        <f>(400778000+189911725*1.095*1.066*1.04)</f>
        <v>631323389.61038005</v>
      </c>
      <c r="R51" s="584">
        <v>0</v>
      </c>
      <c r="S51" s="582">
        <f t="shared" si="2"/>
        <v>12940250712.72613</v>
      </c>
      <c r="T51" s="347" t="s">
        <v>1335</v>
      </c>
      <c r="U51" s="779">
        <f>+S51</f>
        <v>12940250712.72613</v>
      </c>
      <c r="V51" s="422">
        <v>0</v>
      </c>
      <c r="W51" s="422">
        <v>0</v>
      </c>
      <c r="X51" s="725" t="s">
        <v>1280</v>
      </c>
    </row>
    <row r="52" spans="2:24" ht="51" hidden="1">
      <c r="B52" s="958"/>
      <c r="C52" s="767"/>
      <c r="D52" s="958"/>
      <c r="E52" s="878"/>
      <c r="F52" s="910"/>
      <c r="G52" s="912"/>
      <c r="H52" s="913"/>
      <c r="I52" s="785" t="s">
        <v>1356</v>
      </c>
      <c r="J52" s="788">
        <v>35</v>
      </c>
      <c r="K52" s="584"/>
      <c r="L52" s="585"/>
      <c r="M52" s="584"/>
      <c r="N52" s="585"/>
      <c r="O52" s="584"/>
      <c r="P52" s="585"/>
      <c r="Q52" s="584"/>
      <c r="R52" s="584"/>
      <c r="S52" s="582"/>
      <c r="T52" s="347"/>
      <c r="U52" s="779"/>
      <c r="V52" s="422"/>
      <c r="W52" s="422"/>
      <c r="X52" s="725"/>
    </row>
    <row r="53" spans="2:24" ht="51">
      <c r="B53" s="959"/>
      <c r="C53" s="767" t="s">
        <v>1140</v>
      </c>
      <c r="D53" s="959"/>
      <c r="E53" s="879"/>
      <c r="F53" s="965"/>
      <c r="G53" s="966"/>
      <c r="H53" s="913"/>
      <c r="I53" s="615" t="s">
        <v>1357</v>
      </c>
      <c r="J53" s="616">
        <v>808</v>
      </c>
      <c r="K53" s="585">
        <v>4662488860</v>
      </c>
      <c r="L53" s="585">
        <v>0</v>
      </c>
      <c r="M53" s="585">
        <v>5360696566</v>
      </c>
      <c r="N53" s="585">
        <v>0</v>
      </c>
      <c r="O53" s="585">
        <v>6000227667</v>
      </c>
      <c r="P53" s="585">
        <v>0</v>
      </c>
      <c r="Q53" s="585">
        <v>6552248612</v>
      </c>
      <c r="R53" s="585">
        <v>0</v>
      </c>
      <c r="S53" s="588">
        <f t="shared" ref="S53:S84" si="13">SUM(K53:R53)</f>
        <v>22575661705</v>
      </c>
      <c r="T53" s="347"/>
      <c r="U53" s="780">
        <f>+S53</f>
        <v>22575661705</v>
      </c>
      <c r="V53" s="435">
        <v>0</v>
      </c>
      <c r="W53" s="435">
        <f t="shared" si="12"/>
        <v>0</v>
      </c>
      <c r="X53" s="720" t="s">
        <v>1265</v>
      </c>
    </row>
    <row r="54" spans="2:24" ht="63.75">
      <c r="B54" s="769" t="s">
        <v>754</v>
      </c>
      <c r="C54" s="769" t="s">
        <v>865</v>
      </c>
      <c r="D54" s="769" t="s">
        <v>573</v>
      </c>
      <c r="E54" s="756" t="s">
        <v>620</v>
      </c>
      <c r="F54" s="436" t="s">
        <v>765</v>
      </c>
      <c r="G54" s="678">
        <v>1</v>
      </c>
      <c r="H54" s="679" t="s">
        <v>784</v>
      </c>
      <c r="I54" s="449" t="s">
        <v>753</v>
      </c>
      <c r="J54" s="448">
        <v>1</v>
      </c>
      <c r="K54" s="584">
        <f>210544831+189911725+131804338+5179978960</f>
        <v>5712239854</v>
      </c>
      <c r="L54" s="584">
        <v>0</v>
      </c>
      <c r="M54" s="584">
        <f>+K54*1.095</f>
        <v>6254902640.1300001</v>
      </c>
      <c r="N54" s="584">
        <v>0</v>
      </c>
      <c r="O54" s="584">
        <f>+M54*1.066</f>
        <v>6667726214.3785801</v>
      </c>
      <c r="P54" s="584">
        <v>0</v>
      </c>
      <c r="Q54" s="584">
        <f t="shared" ref="Q54:Q59" si="14">+O54*1.04</f>
        <v>6934435262.9537239</v>
      </c>
      <c r="R54" s="584">
        <v>0</v>
      </c>
      <c r="S54" s="582">
        <f t="shared" si="13"/>
        <v>25569303971.462307</v>
      </c>
      <c r="T54" s="347" t="s">
        <v>1336</v>
      </c>
      <c r="U54" s="779">
        <f t="shared" ref="U54:U60" si="15">+S54</f>
        <v>25569303971.462307</v>
      </c>
      <c r="V54" s="422">
        <v>0</v>
      </c>
      <c r="W54" s="422">
        <v>0</v>
      </c>
      <c r="X54" s="720" t="s">
        <v>1265</v>
      </c>
    </row>
    <row r="55" spans="2:24" ht="178.5">
      <c r="B55" s="765" t="s">
        <v>776</v>
      </c>
      <c r="C55" s="765" t="s">
        <v>879</v>
      </c>
      <c r="D55" s="766" t="s">
        <v>573</v>
      </c>
      <c r="E55" s="686" t="s">
        <v>625</v>
      </c>
      <c r="F55" s="687" t="s">
        <v>775</v>
      </c>
      <c r="G55" s="688">
        <v>1</v>
      </c>
      <c r="H55" s="689" t="s">
        <v>1072</v>
      </c>
      <c r="I55" s="409" t="s">
        <v>777</v>
      </c>
      <c r="J55" s="495">
        <v>1</v>
      </c>
      <c r="K55" s="583">
        <f>339013018+209124281+201541786+210544831+209124281+492353840</f>
        <v>1661702037</v>
      </c>
      <c r="L55" s="583">
        <v>0</v>
      </c>
      <c r="M55" s="583">
        <f>+(K55*1.095)+2000000000</f>
        <v>3819563730.5149999</v>
      </c>
      <c r="N55" s="583">
        <v>0</v>
      </c>
      <c r="O55" s="583">
        <f>(339013018+209124281+201541786+210544831+209124281+682665532)*1.095*1.066</f>
        <v>2161800065.4498301</v>
      </c>
      <c r="P55" s="583">
        <v>0</v>
      </c>
      <c r="Q55" s="583">
        <f t="shared" si="14"/>
        <v>2248272068.0678234</v>
      </c>
      <c r="R55" s="583">
        <v>0</v>
      </c>
      <c r="S55" s="581">
        <f t="shared" si="13"/>
        <v>9891337901.0326538</v>
      </c>
      <c r="T55" s="409" t="s">
        <v>1445</v>
      </c>
      <c r="U55" s="580">
        <f>+S55-V55</f>
        <v>7891337901.0326538</v>
      </c>
      <c r="V55" s="555">
        <v>2000000000</v>
      </c>
      <c r="W55" s="555">
        <v>0</v>
      </c>
      <c r="X55" s="720" t="s">
        <v>1267</v>
      </c>
    </row>
    <row r="56" spans="2:24" ht="63.75" hidden="1" customHeight="1">
      <c r="B56" s="960" t="s">
        <v>1123</v>
      </c>
      <c r="C56" s="769" t="s">
        <v>871</v>
      </c>
      <c r="D56" s="960" t="s">
        <v>573</v>
      </c>
      <c r="E56" s="930" t="s">
        <v>626</v>
      </c>
      <c r="F56" s="933" t="s">
        <v>779</v>
      </c>
      <c r="G56" s="452">
        <v>1</v>
      </c>
      <c r="H56" s="453" t="s">
        <v>618</v>
      </c>
      <c r="I56" s="455" t="s">
        <v>773</v>
      </c>
      <c r="J56" s="454">
        <v>1</v>
      </c>
      <c r="K56" s="584">
        <f>3963142681+1071179501+851595123+742328000</f>
        <v>6628245305</v>
      </c>
      <c r="L56" s="584">
        <v>0</v>
      </c>
      <c r="M56" s="584">
        <f>+K56*1.095</f>
        <v>7257928608.9749994</v>
      </c>
      <c r="N56" s="584">
        <v>0</v>
      </c>
      <c r="O56" s="584">
        <f>+M56*1.066</f>
        <v>7736951897.1673498</v>
      </c>
      <c r="P56" s="584">
        <v>0</v>
      </c>
      <c r="Q56" s="584">
        <f t="shared" si="14"/>
        <v>8046429973.0540438</v>
      </c>
      <c r="R56" s="584">
        <v>0</v>
      </c>
      <c r="S56" s="582">
        <f t="shared" si="13"/>
        <v>29669555784.196392</v>
      </c>
      <c r="T56" s="347" t="s">
        <v>1189</v>
      </c>
      <c r="U56" s="779">
        <f t="shared" si="15"/>
        <v>29669555784.196392</v>
      </c>
      <c r="V56" s="422">
        <v>0</v>
      </c>
      <c r="W56" s="422">
        <v>0</v>
      </c>
      <c r="X56" s="725" t="s">
        <v>1278</v>
      </c>
    </row>
    <row r="57" spans="2:24" ht="76.5" hidden="1">
      <c r="B57" s="961"/>
      <c r="C57" s="963" t="s">
        <v>878</v>
      </c>
      <c r="D57" s="961"/>
      <c r="E57" s="931"/>
      <c r="F57" s="934"/>
      <c r="G57" s="937">
        <v>2</v>
      </c>
      <c r="H57" s="928" t="s">
        <v>785</v>
      </c>
      <c r="I57" s="462" t="s">
        <v>816</v>
      </c>
      <c r="J57" s="461">
        <v>1</v>
      </c>
      <c r="K57" s="584">
        <f>3963142681+967280446+249555833</f>
        <v>5179978960</v>
      </c>
      <c r="L57" s="781">
        <v>0</v>
      </c>
      <c r="M57" s="584">
        <f>+K57*1.095</f>
        <v>5672076961.1999998</v>
      </c>
      <c r="N57" s="584">
        <v>0</v>
      </c>
      <c r="O57" s="584">
        <f>+M57*1.066</f>
        <v>6046434040.6392002</v>
      </c>
      <c r="P57" s="584">
        <v>0</v>
      </c>
      <c r="Q57" s="584">
        <f t="shared" si="14"/>
        <v>6288291402.2647686</v>
      </c>
      <c r="R57" s="584">
        <v>0</v>
      </c>
      <c r="S57" s="582">
        <f t="shared" si="13"/>
        <v>23186781364.10397</v>
      </c>
      <c r="T57" s="347" t="s">
        <v>1190</v>
      </c>
      <c r="U57" s="779">
        <f t="shared" si="15"/>
        <v>23186781364.10397</v>
      </c>
      <c r="V57" s="422">
        <v>0</v>
      </c>
      <c r="W57" s="422">
        <v>0</v>
      </c>
      <c r="X57" s="725" t="s">
        <v>1278</v>
      </c>
    </row>
    <row r="58" spans="2:24" ht="51" hidden="1">
      <c r="B58" s="962"/>
      <c r="C58" s="963"/>
      <c r="D58" s="962"/>
      <c r="E58" s="932"/>
      <c r="F58" s="935"/>
      <c r="G58" s="938"/>
      <c r="H58" s="929"/>
      <c r="I58" s="466" t="s">
        <v>1315</v>
      </c>
      <c r="J58" s="461">
        <v>1</v>
      </c>
      <c r="K58" s="584">
        <v>249555833</v>
      </c>
      <c r="L58" s="584">
        <v>0</v>
      </c>
      <c r="M58" s="584">
        <f>+K58*1.095</f>
        <v>273263637.13499999</v>
      </c>
      <c r="N58" s="584">
        <v>0</v>
      </c>
      <c r="O58" s="584">
        <f>+M58*1.066</f>
        <v>291299037.18590999</v>
      </c>
      <c r="P58" s="584">
        <v>0</v>
      </c>
      <c r="Q58" s="584">
        <f t="shared" si="14"/>
        <v>302950998.6733464</v>
      </c>
      <c r="R58" s="584">
        <v>0</v>
      </c>
      <c r="S58" s="582">
        <f t="shared" si="13"/>
        <v>1117069505.9942565</v>
      </c>
      <c r="T58" s="347" t="s">
        <v>1191</v>
      </c>
      <c r="U58" s="779">
        <f t="shared" si="15"/>
        <v>1117069505.9942565</v>
      </c>
      <c r="V58" s="422">
        <v>0</v>
      </c>
      <c r="W58" s="422">
        <v>0</v>
      </c>
      <c r="X58" s="725" t="s">
        <v>1278</v>
      </c>
    </row>
    <row r="59" spans="2:24" ht="51" hidden="1" customHeight="1">
      <c r="B59" s="954" t="s">
        <v>1124</v>
      </c>
      <c r="C59" s="575" t="s">
        <v>864</v>
      </c>
      <c r="D59" s="954" t="s">
        <v>573</v>
      </c>
      <c r="E59" s="886" t="s">
        <v>627</v>
      </c>
      <c r="F59" s="888" t="s">
        <v>711</v>
      </c>
      <c r="G59" s="718">
        <v>1</v>
      </c>
      <c r="H59" s="409" t="s">
        <v>622</v>
      </c>
      <c r="I59" s="537" t="s">
        <v>1049</v>
      </c>
      <c r="J59" s="535">
        <v>8</v>
      </c>
      <c r="K59" s="583">
        <v>3963142681</v>
      </c>
      <c r="L59" s="583">
        <v>0</v>
      </c>
      <c r="M59" s="583">
        <f>+K59*1.095</f>
        <v>4339641235.6949997</v>
      </c>
      <c r="N59" s="583">
        <v>0</v>
      </c>
      <c r="O59" s="583">
        <f>+M59*1.066</f>
        <v>4626057557.2508698</v>
      </c>
      <c r="P59" s="583">
        <v>0</v>
      </c>
      <c r="Q59" s="583">
        <f t="shared" si="14"/>
        <v>4811099859.540905</v>
      </c>
      <c r="R59" s="583">
        <v>0</v>
      </c>
      <c r="S59" s="581">
        <f t="shared" si="13"/>
        <v>17739941333.486774</v>
      </c>
      <c r="T59" s="409" t="s">
        <v>1192</v>
      </c>
      <c r="U59" s="580">
        <f t="shared" si="15"/>
        <v>17739941333.486774</v>
      </c>
      <c r="V59" s="555">
        <v>0</v>
      </c>
      <c r="W59" s="555">
        <v>0</v>
      </c>
      <c r="X59" s="725" t="s">
        <v>1278</v>
      </c>
    </row>
    <row r="60" spans="2:24" ht="63.75" hidden="1">
      <c r="B60" s="956"/>
      <c r="C60" s="575" t="s">
        <v>864</v>
      </c>
      <c r="D60" s="956"/>
      <c r="E60" s="887"/>
      <c r="F60" s="889"/>
      <c r="G60" s="718">
        <v>2</v>
      </c>
      <c r="H60" s="409" t="s">
        <v>795</v>
      </c>
      <c r="I60" s="409" t="s">
        <v>843</v>
      </c>
      <c r="J60" s="495">
        <v>1</v>
      </c>
      <c r="K60" s="583">
        <v>436498612</v>
      </c>
      <c r="L60" s="583">
        <v>0</v>
      </c>
      <c r="M60" s="583">
        <f>+K60*1.095</f>
        <v>477965980.13999999</v>
      </c>
      <c r="N60" s="583">
        <v>0</v>
      </c>
      <c r="O60" s="583">
        <f t="shared" ref="O60" si="16">+M60*1.066</f>
        <v>509511734.82924002</v>
      </c>
      <c r="P60" s="583">
        <v>0</v>
      </c>
      <c r="Q60" s="583">
        <v>0</v>
      </c>
      <c r="R60" s="583">
        <v>0</v>
      </c>
      <c r="S60" s="581">
        <f t="shared" si="13"/>
        <v>1423976326.96924</v>
      </c>
      <c r="T60" s="409" t="s">
        <v>1446</v>
      </c>
      <c r="U60" s="580">
        <f t="shared" si="15"/>
        <v>1423976326.96924</v>
      </c>
      <c r="V60" s="580">
        <v>0</v>
      </c>
      <c r="W60" s="580">
        <v>0</v>
      </c>
      <c r="X60" s="725" t="s">
        <v>1423</v>
      </c>
    </row>
    <row r="61" spans="2:24" ht="140.25" hidden="1">
      <c r="B61" s="769" t="s">
        <v>757</v>
      </c>
      <c r="C61" s="470" t="s">
        <v>888</v>
      </c>
      <c r="D61" s="769" t="s">
        <v>573</v>
      </c>
      <c r="E61" s="756" t="s">
        <v>628</v>
      </c>
      <c r="F61" s="436" t="s">
        <v>623</v>
      </c>
      <c r="G61" s="344">
        <v>1</v>
      </c>
      <c r="H61" s="345" t="s">
        <v>781</v>
      </c>
      <c r="I61" s="439" t="s">
        <v>1074</v>
      </c>
      <c r="J61" s="471">
        <v>1</v>
      </c>
      <c r="K61" s="584">
        <v>0</v>
      </c>
      <c r="L61" s="584">
        <v>968000000</v>
      </c>
      <c r="M61" s="584">
        <v>0</v>
      </c>
      <c r="N61" s="584">
        <v>872000000</v>
      </c>
      <c r="O61" s="584">
        <v>0</v>
      </c>
      <c r="P61" s="584">
        <v>995000000</v>
      </c>
      <c r="Q61" s="584">
        <v>0</v>
      </c>
      <c r="R61" s="584">
        <v>0</v>
      </c>
      <c r="S61" s="582">
        <f t="shared" si="13"/>
        <v>2835000000</v>
      </c>
      <c r="T61" s="436" t="s">
        <v>1324</v>
      </c>
      <c r="U61" s="779">
        <f>+S61</f>
        <v>2835000000</v>
      </c>
      <c r="V61" s="422">
        <v>0</v>
      </c>
      <c r="W61" s="422">
        <v>0</v>
      </c>
      <c r="X61" s="725" t="s">
        <v>1423</v>
      </c>
    </row>
    <row r="62" spans="2:24" ht="51" hidden="1" customHeight="1">
      <c r="B62" s="954" t="s">
        <v>1128</v>
      </c>
      <c r="C62" s="765" t="s">
        <v>871</v>
      </c>
      <c r="D62" s="954" t="s">
        <v>573</v>
      </c>
      <c r="E62" s="886" t="s">
        <v>629</v>
      </c>
      <c r="F62" s="888" t="s">
        <v>631</v>
      </c>
      <c r="G62" s="914">
        <v>1</v>
      </c>
      <c r="H62" s="917" t="s">
        <v>806</v>
      </c>
      <c r="I62" s="539" t="s">
        <v>782</v>
      </c>
      <c r="J62" s="522">
        <v>1</v>
      </c>
      <c r="K62" s="583">
        <v>3963142681</v>
      </c>
      <c r="L62" s="583">
        <v>0</v>
      </c>
      <c r="M62" s="583">
        <f>+K62*1.095</f>
        <v>4339641235.6949997</v>
      </c>
      <c r="N62" s="583">
        <v>0</v>
      </c>
      <c r="O62" s="583">
        <f>+M62*1.066</f>
        <v>4626057557.2508698</v>
      </c>
      <c r="P62" s="583">
        <v>0</v>
      </c>
      <c r="Q62" s="583">
        <f>+O62*1.04</f>
        <v>4811099859.540905</v>
      </c>
      <c r="R62" s="583">
        <v>0</v>
      </c>
      <c r="S62" s="581">
        <f t="shared" si="13"/>
        <v>17739941333.486774</v>
      </c>
      <c r="T62" s="519" t="s">
        <v>1193</v>
      </c>
      <c r="U62" s="580">
        <f>+S62</f>
        <v>17739941333.486774</v>
      </c>
      <c r="V62" s="555">
        <v>0</v>
      </c>
      <c r="W62" s="555">
        <v>0</v>
      </c>
      <c r="X62" s="725" t="s">
        <v>1278</v>
      </c>
    </row>
    <row r="63" spans="2:24" ht="51" hidden="1">
      <c r="B63" s="955"/>
      <c r="C63" s="765" t="s">
        <v>871</v>
      </c>
      <c r="D63" s="955"/>
      <c r="E63" s="904"/>
      <c r="F63" s="908"/>
      <c r="G63" s="916"/>
      <c r="H63" s="919"/>
      <c r="I63" s="539" t="s">
        <v>783</v>
      </c>
      <c r="J63" s="522">
        <v>0.9</v>
      </c>
      <c r="K63" s="583">
        <v>3963142681</v>
      </c>
      <c r="L63" s="583">
        <v>0</v>
      </c>
      <c r="M63" s="583">
        <f>+K63*1.095</f>
        <v>4339641235.6949997</v>
      </c>
      <c r="N63" s="583">
        <v>0</v>
      </c>
      <c r="O63" s="583">
        <f>+M63*1.066</f>
        <v>4626057557.2508698</v>
      </c>
      <c r="P63" s="583">
        <v>0</v>
      </c>
      <c r="Q63" s="583">
        <f>+O63*1.04</f>
        <v>4811099859.540905</v>
      </c>
      <c r="R63" s="583">
        <v>0</v>
      </c>
      <c r="S63" s="581">
        <f t="shared" si="13"/>
        <v>17739941333.486774</v>
      </c>
      <c r="T63" s="409" t="s">
        <v>1194</v>
      </c>
      <c r="U63" s="580">
        <f>+S63</f>
        <v>17739941333.486774</v>
      </c>
      <c r="V63" s="555">
        <v>0</v>
      </c>
      <c r="W63" s="555">
        <v>0</v>
      </c>
      <c r="X63" s="725" t="s">
        <v>1278</v>
      </c>
    </row>
    <row r="64" spans="2:24" ht="140.25">
      <c r="B64" s="956"/>
      <c r="C64" s="575" t="s">
        <v>1138</v>
      </c>
      <c r="D64" s="956"/>
      <c r="E64" s="887"/>
      <c r="F64" s="889"/>
      <c r="G64" s="694">
        <v>2</v>
      </c>
      <c r="H64" s="543" t="s">
        <v>1038</v>
      </c>
      <c r="I64" s="544" t="s">
        <v>807</v>
      </c>
      <c r="J64" s="497">
        <v>1</v>
      </c>
      <c r="K64" s="583">
        <v>0</v>
      </c>
      <c r="L64" s="583">
        <v>27600000</v>
      </c>
      <c r="M64" s="583">
        <v>0</v>
      </c>
      <c r="N64" s="583">
        <v>11000000</v>
      </c>
      <c r="O64" s="583">
        <v>0</v>
      </c>
      <c r="P64" s="583">
        <v>0</v>
      </c>
      <c r="Q64" s="583">
        <v>0</v>
      </c>
      <c r="R64" s="583">
        <v>0</v>
      </c>
      <c r="S64" s="581">
        <f t="shared" si="13"/>
        <v>38600000</v>
      </c>
      <c r="T64" s="519" t="s">
        <v>1337</v>
      </c>
      <c r="U64" s="580">
        <f>+S64</f>
        <v>38600000</v>
      </c>
      <c r="V64" s="555">
        <v>0</v>
      </c>
      <c r="W64" s="555">
        <v>0</v>
      </c>
      <c r="X64" s="720" t="s">
        <v>1267</v>
      </c>
    </row>
    <row r="65" spans="2:24" ht="76.5" customHeight="1">
      <c r="B65" s="960" t="s">
        <v>757</v>
      </c>
      <c r="C65" s="769" t="s">
        <v>865</v>
      </c>
      <c r="D65" s="960" t="s">
        <v>573</v>
      </c>
      <c r="E65" s="920" t="s">
        <v>630</v>
      </c>
      <c r="F65" s="925" t="s">
        <v>1390</v>
      </c>
      <c r="G65" s="757">
        <v>1</v>
      </c>
      <c r="H65" s="440" t="s">
        <v>1075</v>
      </c>
      <c r="I65" s="345" t="s">
        <v>811</v>
      </c>
      <c r="J65" s="472">
        <v>1</v>
      </c>
      <c r="K65" s="584">
        <f>62061406+3963142681+320713288+354250937</f>
        <v>4700168312</v>
      </c>
      <c r="L65" s="584">
        <v>0</v>
      </c>
      <c r="M65" s="584">
        <f>+K65*1.095</f>
        <v>5146684301.6400003</v>
      </c>
      <c r="N65" s="584">
        <v>0</v>
      </c>
      <c r="O65" s="584">
        <v>0</v>
      </c>
      <c r="P65" s="584">
        <v>0</v>
      </c>
      <c r="Q65" s="584">
        <f>+O65*1.04</f>
        <v>0</v>
      </c>
      <c r="R65" s="584">
        <v>0</v>
      </c>
      <c r="S65" s="582">
        <f t="shared" si="13"/>
        <v>9846852613.6399994</v>
      </c>
      <c r="T65" s="347" t="s">
        <v>1338</v>
      </c>
      <c r="U65" s="779">
        <f>+S65</f>
        <v>9846852613.6399994</v>
      </c>
      <c r="V65" s="422">
        <v>0</v>
      </c>
      <c r="W65" s="422">
        <v>0</v>
      </c>
      <c r="X65" s="720" t="s">
        <v>1267</v>
      </c>
    </row>
    <row r="66" spans="2:24" ht="40.5" customHeight="1">
      <c r="B66" s="961"/>
      <c r="C66" s="769" t="s">
        <v>865</v>
      </c>
      <c r="D66" s="961"/>
      <c r="E66" s="924"/>
      <c r="F66" s="926"/>
      <c r="G66" s="757">
        <v>2</v>
      </c>
      <c r="H66" s="760" t="s">
        <v>1236</v>
      </c>
      <c r="I66" s="345" t="s">
        <v>812</v>
      </c>
      <c r="J66" s="472">
        <v>0.5</v>
      </c>
      <c r="K66" s="584">
        <v>0</v>
      </c>
      <c r="L66" s="584">
        <v>0</v>
      </c>
      <c r="M66" s="584">
        <v>0</v>
      </c>
      <c r="N66" s="584">
        <v>0</v>
      </c>
      <c r="O66" s="584">
        <v>0</v>
      </c>
      <c r="P66" s="584">
        <v>0</v>
      </c>
      <c r="Q66" s="584">
        <v>0</v>
      </c>
      <c r="R66" s="584">
        <v>0</v>
      </c>
      <c r="S66" s="582">
        <f t="shared" si="13"/>
        <v>0</v>
      </c>
      <c r="T66" s="347" t="s">
        <v>1436</v>
      </c>
      <c r="U66" s="779">
        <v>0</v>
      </c>
      <c r="V66" s="422">
        <v>0</v>
      </c>
      <c r="W66" s="422">
        <v>0</v>
      </c>
      <c r="X66" s="720" t="s">
        <v>1267</v>
      </c>
    </row>
    <row r="67" spans="2:24" ht="76.5" hidden="1">
      <c r="B67" s="961"/>
      <c r="C67" s="769" t="s">
        <v>865</v>
      </c>
      <c r="D67" s="961"/>
      <c r="E67" s="924"/>
      <c r="F67" s="926"/>
      <c r="G67" s="757">
        <v>3</v>
      </c>
      <c r="H67" s="440" t="s">
        <v>1076</v>
      </c>
      <c r="I67" s="345" t="s">
        <v>811</v>
      </c>
      <c r="J67" s="442">
        <v>1</v>
      </c>
      <c r="K67" s="584">
        <f>62061406+3963142681+320713288+354250937</f>
        <v>4700168312</v>
      </c>
      <c r="L67" s="584">
        <v>0</v>
      </c>
      <c r="M67" s="584">
        <f>+K67*1.095</f>
        <v>5146684301.6400003</v>
      </c>
      <c r="N67" s="584">
        <v>0</v>
      </c>
      <c r="O67" s="584">
        <v>0</v>
      </c>
      <c r="P67" s="584">
        <v>0</v>
      </c>
      <c r="Q67" s="584">
        <v>0</v>
      </c>
      <c r="R67" s="584">
        <v>0</v>
      </c>
      <c r="S67" s="582">
        <f t="shared" si="13"/>
        <v>9846852613.6399994</v>
      </c>
      <c r="T67" s="347" t="s">
        <v>1338</v>
      </c>
      <c r="U67" s="779">
        <f>+S67</f>
        <v>9846852613.6399994</v>
      </c>
      <c r="V67" s="422">
        <v>0</v>
      </c>
      <c r="W67" s="422">
        <v>0</v>
      </c>
      <c r="X67" s="725" t="s">
        <v>1282</v>
      </c>
    </row>
    <row r="68" spans="2:24" ht="38.25">
      <c r="B68" s="961"/>
      <c r="C68" s="769" t="s">
        <v>865</v>
      </c>
      <c r="D68" s="961"/>
      <c r="E68" s="924"/>
      <c r="F68" s="926"/>
      <c r="G68" s="757">
        <v>4</v>
      </c>
      <c r="H68" s="760" t="s">
        <v>1237</v>
      </c>
      <c r="I68" s="345" t="s">
        <v>1039</v>
      </c>
      <c r="J68" s="472">
        <v>0.5</v>
      </c>
      <c r="K68" s="584">
        <v>0</v>
      </c>
      <c r="L68" s="584">
        <v>0</v>
      </c>
      <c r="M68" s="584">
        <v>0</v>
      </c>
      <c r="N68" s="584">
        <v>0</v>
      </c>
      <c r="O68" s="584">
        <v>0</v>
      </c>
      <c r="P68" s="584">
        <v>0</v>
      </c>
      <c r="Q68" s="584">
        <v>0</v>
      </c>
      <c r="R68" s="584">
        <v>0</v>
      </c>
      <c r="S68" s="582">
        <f t="shared" si="13"/>
        <v>0</v>
      </c>
      <c r="T68" s="347" t="s">
        <v>1436</v>
      </c>
      <c r="U68" s="779">
        <v>0</v>
      </c>
      <c r="V68" s="422">
        <v>0</v>
      </c>
      <c r="W68" s="422">
        <v>0</v>
      </c>
      <c r="X68" s="720" t="s">
        <v>1267</v>
      </c>
    </row>
    <row r="69" spans="2:24" ht="51" hidden="1">
      <c r="B69" s="764"/>
      <c r="C69" s="769" t="s">
        <v>865</v>
      </c>
      <c r="D69" s="962"/>
      <c r="E69" s="921"/>
      <c r="F69" s="927"/>
      <c r="G69" s="757">
        <v>5</v>
      </c>
      <c r="H69" s="760" t="s">
        <v>1235</v>
      </c>
      <c r="I69" s="345" t="s">
        <v>1110</v>
      </c>
      <c r="J69" s="472">
        <v>1</v>
      </c>
      <c r="K69" s="584">
        <f>(167857834+45379417+136138248)*(1+7.26%)</f>
        <v>374740160.2274</v>
      </c>
      <c r="L69" s="584">
        <v>0</v>
      </c>
      <c r="M69" s="584">
        <f>K69*(1+9.5%)</f>
        <v>410340475.44900298</v>
      </c>
      <c r="N69" s="584">
        <v>0</v>
      </c>
      <c r="O69" s="584">
        <f>M69*(1+6.6%)</f>
        <v>437422946.82863718</v>
      </c>
      <c r="P69" s="584">
        <v>0</v>
      </c>
      <c r="Q69" s="584">
        <f>O69*(1+4%)</f>
        <v>454919864.7017827</v>
      </c>
      <c r="R69" s="584">
        <v>0</v>
      </c>
      <c r="S69" s="582">
        <f t="shared" si="13"/>
        <v>1677423447.2068229</v>
      </c>
      <c r="T69" s="347" t="s">
        <v>1185</v>
      </c>
      <c r="U69" s="779">
        <f>+S69</f>
        <v>1677423447.2068229</v>
      </c>
      <c r="V69" s="422">
        <v>0</v>
      </c>
      <c r="W69" s="422">
        <v>0</v>
      </c>
      <c r="X69" s="725" t="s">
        <v>1423</v>
      </c>
    </row>
    <row r="70" spans="2:24" ht="63.75" hidden="1" customHeight="1">
      <c r="B70" s="954" t="s">
        <v>819</v>
      </c>
      <c r="C70" s="575" t="s">
        <v>865</v>
      </c>
      <c r="D70" s="954" t="s">
        <v>573</v>
      </c>
      <c r="E70" s="886" t="s">
        <v>632</v>
      </c>
      <c r="F70" s="888" t="s">
        <v>1392</v>
      </c>
      <c r="G70" s="754">
        <v>1</v>
      </c>
      <c r="H70" s="758" t="s">
        <v>1317</v>
      </c>
      <c r="I70" s="409" t="s">
        <v>1161</v>
      </c>
      <c r="J70" s="754">
        <v>3</v>
      </c>
      <c r="K70" s="583">
        <v>3963142681</v>
      </c>
      <c r="L70" s="583">
        <v>0</v>
      </c>
      <c r="M70" s="583">
        <f>+K70*1.095</f>
        <v>4339641235.6949997</v>
      </c>
      <c r="N70" s="583">
        <v>0</v>
      </c>
      <c r="O70" s="583">
        <f>+M70*1.066</f>
        <v>4626057557.2508698</v>
      </c>
      <c r="P70" s="583">
        <v>0</v>
      </c>
      <c r="Q70" s="583">
        <v>0</v>
      </c>
      <c r="R70" s="583">
        <v>0</v>
      </c>
      <c r="S70" s="581">
        <f t="shared" si="13"/>
        <v>12928841473.945869</v>
      </c>
      <c r="T70" s="409" t="s">
        <v>1194</v>
      </c>
      <c r="U70" s="580">
        <f>+S70</f>
        <v>12928841473.945869</v>
      </c>
      <c r="V70" s="555">
        <v>0</v>
      </c>
      <c r="W70" s="555">
        <v>0</v>
      </c>
      <c r="X70" s="725" t="s">
        <v>1423</v>
      </c>
    </row>
    <row r="71" spans="2:24" ht="51" hidden="1" customHeight="1">
      <c r="B71" s="955"/>
      <c r="C71" s="954" t="s">
        <v>865</v>
      </c>
      <c r="D71" s="955"/>
      <c r="E71" s="904"/>
      <c r="F71" s="908"/>
      <c r="G71" s="914">
        <v>2</v>
      </c>
      <c r="H71" s="939" t="s">
        <v>820</v>
      </c>
      <c r="I71" s="409" t="s">
        <v>1040</v>
      </c>
      <c r="J71" s="754">
        <v>2</v>
      </c>
      <c r="K71" s="583"/>
      <c r="L71" s="583">
        <v>0</v>
      </c>
      <c r="M71" s="583">
        <v>3242891775</v>
      </c>
      <c r="N71" s="583">
        <v>0</v>
      </c>
      <c r="O71" s="583">
        <f>+M71*1.066</f>
        <v>3456922632.1500001</v>
      </c>
      <c r="P71" s="583">
        <v>0</v>
      </c>
      <c r="Q71" s="583">
        <v>0</v>
      </c>
      <c r="R71" s="583">
        <v>0</v>
      </c>
      <c r="S71" s="581">
        <f t="shared" si="13"/>
        <v>6699814407.1499996</v>
      </c>
      <c r="T71" s="409" t="s">
        <v>1435</v>
      </c>
      <c r="U71" s="580">
        <f t="shared" ref="U71:U72" si="17">+S71</f>
        <v>6699814407.1499996</v>
      </c>
      <c r="V71" s="555">
        <v>0</v>
      </c>
      <c r="W71" s="555">
        <v>0</v>
      </c>
      <c r="X71" s="775" t="s">
        <v>1423</v>
      </c>
    </row>
    <row r="72" spans="2:24" ht="51" hidden="1" customHeight="1">
      <c r="B72" s="956"/>
      <c r="C72" s="956"/>
      <c r="D72" s="956"/>
      <c r="E72" s="887"/>
      <c r="F72" s="889"/>
      <c r="G72" s="916"/>
      <c r="H72" s="940"/>
      <c r="I72" s="409" t="s">
        <v>1239</v>
      </c>
      <c r="J72" s="545">
        <v>0.05</v>
      </c>
      <c r="K72" s="583">
        <v>0</v>
      </c>
      <c r="L72" s="583">
        <v>0</v>
      </c>
      <c r="M72" s="583"/>
      <c r="N72" s="583">
        <v>0</v>
      </c>
      <c r="O72" s="583">
        <v>3456922632.1500001</v>
      </c>
      <c r="P72" s="583">
        <v>0</v>
      </c>
      <c r="Q72" s="583">
        <f>O72*(1+4%)</f>
        <v>3595199537.4360003</v>
      </c>
      <c r="R72" s="583">
        <v>0</v>
      </c>
      <c r="S72" s="581">
        <f t="shared" si="13"/>
        <v>7052122169.5860004</v>
      </c>
      <c r="T72" s="409" t="s">
        <v>1435</v>
      </c>
      <c r="U72" s="580">
        <f t="shared" si="17"/>
        <v>7052122169.5860004</v>
      </c>
      <c r="V72" s="555">
        <v>0</v>
      </c>
      <c r="W72" s="555">
        <v>0</v>
      </c>
      <c r="X72" s="775" t="s">
        <v>1423</v>
      </c>
    </row>
    <row r="73" spans="2:24" ht="216.75">
      <c r="B73" s="960" t="s">
        <v>846</v>
      </c>
      <c r="C73" s="762" t="s">
        <v>869</v>
      </c>
      <c r="D73" s="960" t="s">
        <v>633</v>
      </c>
      <c r="E73" s="920" t="s">
        <v>634</v>
      </c>
      <c r="F73" s="925" t="s">
        <v>998</v>
      </c>
      <c r="G73" s="937">
        <v>1</v>
      </c>
      <c r="H73" s="942" t="s">
        <v>993</v>
      </c>
      <c r="I73" s="345" t="s">
        <v>1162</v>
      </c>
      <c r="J73" s="474">
        <v>3000</v>
      </c>
      <c r="K73" s="584">
        <v>0</v>
      </c>
      <c r="L73" s="584">
        <v>111876966</v>
      </c>
      <c r="M73" s="584">
        <f>+K73*1.095</f>
        <v>0</v>
      </c>
      <c r="N73" s="584">
        <v>161000000</v>
      </c>
      <c r="O73" s="584">
        <f>+M73*1.066</f>
        <v>0</v>
      </c>
      <c r="P73" s="584">
        <v>160000000</v>
      </c>
      <c r="Q73" s="584">
        <f>+O73*1.04</f>
        <v>0</v>
      </c>
      <c r="R73" s="584">
        <v>0</v>
      </c>
      <c r="S73" s="582">
        <f t="shared" si="13"/>
        <v>432876966</v>
      </c>
      <c r="T73" s="347" t="s">
        <v>1339</v>
      </c>
      <c r="U73" s="779">
        <f>+S73</f>
        <v>432876966</v>
      </c>
      <c r="V73" s="422">
        <v>0</v>
      </c>
      <c r="W73" s="422">
        <v>0</v>
      </c>
      <c r="X73" s="720" t="s">
        <v>1288</v>
      </c>
    </row>
    <row r="74" spans="2:24" ht="216.75" hidden="1">
      <c r="B74" s="961"/>
      <c r="C74" s="764"/>
      <c r="D74" s="961"/>
      <c r="E74" s="924"/>
      <c r="F74" s="926"/>
      <c r="G74" s="941"/>
      <c r="H74" s="943"/>
      <c r="I74" s="345" t="s">
        <v>994</v>
      </c>
      <c r="J74" s="474">
        <v>2005</v>
      </c>
      <c r="K74" s="584">
        <v>486711987</v>
      </c>
      <c r="L74" s="584">
        <v>111876966</v>
      </c>
      <c r="M74" s="584">
        <f t="shared" ref="M74:M77" si="18">+K74*1.095</f>
        <v>532949625.76499999</v>
      </c>
      <c r="N74" s="584">
        <v>161000000</v>
      </c>
      <c r="O74" s="584">
        <f t="shared" ref="O74:O77" si="19">+M74*1.066</f>
        <v>568124301.06549001</v>
      </c>
      <c r="P74" s="584">
        <v>160000000</v>
      </c>
      <c r="Q74" s="584">
        <f t="shared" ref="Q74:Q77" si="20">+O74*1.04</f>
        <v>590849273.10810959</v>
      </c>
      <c r="R74" s="584">
        <v>0</v>
      </c>
      <c r="S74" s="582">
        <f t="shared" si="13"/>
        <v>2611512152.9385996</v>
      </c>
      <c r="T74" s="347" t="s">
        <v>1339</v>
      </c>
      <c r="U74" s="779">
        <f>+S74</f>
        <v>2611512152.9385996</v>
      </c>
      <c r="V74" s="422">
        <v>0</v>
      </c>
      <c r="W74" s="422">
        <f>+S74-U74</f>
        <v>0</v>
      </c>
      <c r="X74" s="725" t="s">
        <v>1285</v>
      </c>
    </row>
    <row r="75" spans="2:24" ht="216.75" hidden="1">
      <c r="B75" s="961"/>
      <c r="C75" s="764"/>
      <c r="D75" s="961"/>
      <c r="E75" s="924"/>
      <c r="F75" s="926"/>
      <c r="G75" s="941"/>
      <c r="H75" s="943"/>
      <c r="I75" s="345" t="s">
        <v>995</v>
      </c>
      <c r="J75" s="479">
        <v>186</v>
      </c>
      <c r="K75" s="584">
        <v>486711987</v>
      </c>
      <c r="L75" s="584">
        <v>111876966</v>
      </c>
      <c r="M75" s="584">
        <f t="shared" si="18"/>
        <v>532949625.76499999</v>
      </c>
      <c r="N75" s="584">
        <v>161000000</v>
      </c>
      <c r="O75" s="584">
        <f t="shared" si="19"/>
        <v>568124301.06549001</v>
      </c>
      <c r="P75" s="584">
        <v>160000000</v>
      </c>
      <c r="Q75" s="584">
        <f t="shared" si="20"/>
        <v>590849273.10810959</v>
      </c>
      <c r="R75" s="584">
        <v>0</v>
      </c>
      <c r="S75" s="582">
        <f t="shared" si="13"/>
        <v>2611512152.9385996</v>
      </c>
      <c r="T75" s="347" t="s">
        <v>1339</v>
      </c>
      <c r="U75" s="779">
        <f>+S75</f>
        <v>2611512152.9385996</v>
      </c>
      <c r="V75" s="422">
        <v>0</v>
      </c>
      <c r="W75" s="422">
        <f>+S75-U75</f>
        <v>0</v>
      </c>
      <c r="X75" s="725" t="s">
        <v>1285</v>
      </c>
    </row>
    <row r="76" spans="2:24" ht="216.75" hidden="1">
      <c r="B76" s="962"/>
      <c r="C76" s="763"/>
      <c r="D76" s="962"/>
      <c r="E76" s="921"/>
      <c r="F76" s="927"/>
      <c r="G76" s="938"/>
      <c r="H76" s="944"/>
      <c r="I76" s="345" t="s">
        <v>996</v>
      </c>
      <c r="J76" s="579">
        <v>65</v>
      </c>
      <c r="K76" s="584">
        <v>486711987</v>
      </c>
      <c r="L76" s="584">
        <v>111876966</v>
      </c>
      <c r="M76" s="584">
        <f t="shared" si="18"/>
        <v>532949625.76499999</v>
      </c>
      <c r="N76" s="584">
        <v>161000000</v>
      </c>
      <c r="O76" s="584">
        <f t="shared" si="19"/>
        <v>568124301.06549001</v>
      </c>
      <c r="P76" s="584">
        <v>160000000</v>
      </c>
      <c r="Q76" s="584">
        <f t="shared" si="20"/>
        <v>590849273.10810959</v>
      </c>
      <c r="R76" s="584">
        <v>0</v>
      </c>
      <c r="S76" s="582">
        <f t="shared" si="13"/>
        <v>2611512152.9385996</v>
      </c>
      <c r="T76" s="347" t="s">
        <v>1339</v>
      </c>
      <c r="U76" s="779">
        <f>+S76</f>
        <v>2611512152.9385996</v>
      </c>
      <c r="V76" s="422">
        <v>0</v>
      </c>
      <c r="W76" s="422">
        <f>+S76-U76</f>
        <v>0</v>
      </c>
      <c r="X76" s="725" t="s">
        <v>1285</v>
      </c>
    </row>
    <row r="77" spans="2:24" ht="63.75">
      <c r="B77" s="575" t="s">
        <v>846</v>
      </c>
      <c r="C77" s="575" t="s">
        <v>865</v>
      </c>
      <c r="D77" s="575" t="s">
        <v>633</v>
      </c>
      <c r="E77" s="749" t="s">
        <v>635</v>
      </c>
      <c r="F77" s="519" t="s">
        <v>637</v>
      </c>
      <c r="G77" s="718">
        <v>1</v>
      </c>
      <c r="H77" s="409" t="s">
        <v>1042</v>
      </c>
      <c r="I77" s="409" t="s">
        <v>787</v>
      </c>
      <c r="J77" s="495">
        <v>1</v>
      </c>
      <c r="K77" s="583">
        <f>203940964+(20591354*1.0726)</f>
        <v>226027250.30039999</v>
      </c>
      <c r="L77" s="583">
        <v>0</v>
      </c>
      <c r="M77" s="583">
        <f t="shared" si="18"/>
        <v>247499839.07893798</v>
      </c>
      <c r="N77" s="583">
        <v>0</v>
      </c>
      <c r="O77" s="583">
        <f t="shared" si="19"/>
        <v>263834828.45814791</v>
      </c>
      <c r="P77" s="583">
        <v>0</v>
      </c>
      <c r="Q77" s="583">
        <f t="shared" si="20"/>
        <v>274388221.59647381</v>
      </c>
      <c r="R77" s="583">
        <v>0</v>
      </c>
      <c r="S77" s="581">
        <f t="shared" si="13"/>
        <v>1011750139.4339597</v>
      </c>
      <c r="T77" s="409" t="s">
        <v>1195</v>
      </c>
      <c r="U77" s="580">
        <f t="shared" ref="U77:U86" si="21">+S77</f>
        <v>1011750139.4339597</v>
      </c>
      <c r="V77" s="555">
        <v>0</v>
      </c>
      <c r="W77" s="555">
        <v>0</v>
      </c>
      <c r="X77" s="720" t="s">
        <v>1267</v>
      </c>
    </row>
    <row r="78" spans="2:24" ht="51" hidden="1" customHeight="1">
      <c r="B78" s="960" t="s">
        <v>846</v>
      </c>
      <c r="C78" s="762" t="s">
        <v>882</v>
      </c>
      <c r="D78" s="960" t="s">
        <v>633</v>
      </c>
      <c r="E78" s="920" t="s">
        <v>636</v>
      </c>
      <c r="F78" s="925" t="s">
        <v>1358</v>
      </c>
      <c r="G78" s="937">
        <v>1</v>
      </c>
      <c r="H78" s="948" t="s">
        <v>1159</v>
      </c>
      <c r="I78" s="617" t="s">
        <v>1114</v>
      </c>
      <c r="J78" s="472">
        <v>1</v>
      </c>
      <c r="K78" s="584">
        <f>(167857834+45379417+136138248)*(1+7.26%)</f>
        <v>374740160.2274</v>
      </c>
      <c r="L78" s="584">
        <v>0</v>
      </c>
      <c r="M78" s="584">
        <f>K78*(1+9.5%)</f>
        <v>410340475.44900298</v>
      </c>
      <c r="N78" s="584">
        <v>0</v>
      </c>
      <c r="O78" s="584">
        <f>M78*(1+6.6%)</f>
        <v>437422946.82863718</v>
      </c>
      <c r="P78" s="584">
        <v>0</v>
      </c>
      <c r="Q78" s="584">
        <f>O78*(1+4%)</f>
        <v>454919864.7017827</v>
      </c>
      <c r="R78" s="584">
        <v>0</v>
      </c>
      <c r="S78" s="582">
        <f t="shared" si="13"/>
        <v>1677423447.2068229</v>
      </c>
      <c r="T78" s="347" t="s">
        <v>1185</v>
      </c>
      <c r="U78" s="779">
        <f t="shared" si="21"/>
        <v>1677423447.2068229</v>
      </c>
      <c r="V78" s="422">
        <v>0</v>
      </c>
      <c r="W78" s="422">
        <v>0</v>
      </c>
      <c r="X78" s="725" t="s">
        <v>1423</v>
      </c>
    </row>
    <row r="79" spans="2:24" ht="51" hidden="1">
      <c r="B79" s="962"/>
      <c r="C79" s="763"/>
      <c r="D79" s="962"/>
      <c r="E79" s="921"/>
      <c r="F79" s="927"/>
      <c r="G79" s="938"/>
      <c r="H79" s="949"/>
      <c r="I79" s="617" t="s">
        <v>788</v>
      </c>
      <c r="J79" s="472">
        <v>1</v>
      </c>
      <c r="K79" s="584">
        <f>(167857834+45379417+136138248)*(1+7.26%)</f>
        <v>374740160.2274</v>
      </c>
      <c r="L79" s="584">
        <v>0</v>
      </c>
      <c r="M79" s="584">
        <f>K79*(1+9.5%)</f>
        <v>410340475.44900298</v>
      </c>
      <c r="N79" s="584">
        <v>0</v>
      </c>
      <c r="O79" s="584">
        <f>M79*(1+6.6%)</f>
        <v>437422946.82863718</v>
      </c>
      <c r="P79" s="584">
        <v>0</v>
      </c>
      <c r="Q79" s="584">
        <f>O79*(1+4%)</f>
        <v>454919864.7017827</v>
      </c>
      <c r="R79" s="584">
        <v>0</v>
      </c>
      <c r="S79" s="582">
        <f t="shared" si="13"/>
        <v>1677423447.2068229</v>
      </c>
      <c r="T79" s="347" t="s">
        <v>1185</v>
      </c>
      <c r="U79" s="779">
        <f t="shared" si="21"/>
        <v>1677423447.2068229</v>
      </c>
      <c r="V79" s="422">
        <v>0</v>
      </c>
      <c r="W79" s="422">
        <v>0</v>
      </c>
      <c r="X79" s="725" t="s">
        <v>1423</v>
      </c>
    </row>
    <row r="80" spans="2:24" ht="63.75">
      <c r="B80" s="575" t="s">
        <v>846</v>
      </c>
      <c r="C80" s="575" t="s">
        <v>859</v>
      </c>
      <c r="D80" s="575" t="s">
        <v>633</v>
      </c>
      <c r="E80" s="749" t="s">
        <v>638</v>
      </c>
      <c r="F80" s="519" t="s">
        <v>1359</v>
      </c>
      <c r="G80" s="718">
        <v>1</v>
      </c>
      <c r="H80" s="409" t="s">
        <v>570</v>
      </c>
      <c r="I80" s="409" t="s">
        <v>791</v>
      </c>
      <c r="J80" s="787">
        <v>3</v>
      </c>
      <c r="K80" s="583">
        <v>0</v>
      </c>
      <c r="L80" s="583">
        <v>0</v>
      </c>
      <c r="M80" s="583">
        <v>0</v>
      </c>
      <c r="N80" s="583">
        <v>0</v>
      </c>
      <c r="O80" s="583">
        <v>0</v>
      </c>
      <c r="P80" s="583">
        <v>0</v>
      </c>
      <c r="Q80" s="583">
        <v>0</v>
      </c>
      <c r="R80" s="583">
        <v>0</v>
      </c>
      <c r="S80" s="581">
        <f t="shared" si="13"/>
        <v>0</v>
      </c>
      <c r="T80" s="409" t="s">
        <v>1451</v>
      </c>
      <c r="U80" s="580">
        <f t="shared" si="21"/>
        <v>0</v>
      </c>
      <c r="V80" s="555">
        <v>0</v>
      </c>
      <c r="W80" s="555">
        <v>0</v>
      </c>
      <c r="X80" s="720" t="s">
        <v>1267</v>
      </c>
    </row>
    <row r="81" spans="2:24" ht="191.25" hidden="1">
      <c r="B81" s="960" t="s">
        <v>847</v>
      </c>
      <c r="C81" s="762" t="s">
        <v>865</v>
      </c>
      <c r="D81" s="960" t="s">
        <v>633</v>
      </c>
      <c r="E81" s="920" t="s">
        <v>640</v>
      </c>
      <c r="F81" s="925" t="s">
        <v>1092</v>
      </c>
      <c r="G81" s="344">
        <v>1</v>
      </c>
      <c r="H81" s="345" t="s">
        <v>447</v>
      </c>
      <c r="I81" s="345" t="s">
        <v>1111</v>
      </c>
      <c r="J81" s="442">
        <v>1</v>
      </c>
      <c r="K81" s="584">
        <f t="shared" ref="K81:K86" si="22">486711987+422374911</f>
        <v>909086898</v>
      </c>
      <c r="L81" s="584">
        <v>111876966</v>
      </c>
      <c r="M81" s="584">
        <f t="shared" ref="M81:M86" si="23">+K81*1.095</f>
        <v>995450153.30999994</v>
      </c>
      <c r="N81" s="584">
        <v>161000000</v>
      </c>
      <c r="O81" s="584">
        <f t="shared" ref="O81:O87" si="24">+M81*1.066</f>
        <v>1061149863.42846</v>
      </c>
      <c r="P81" s="584">
        <v>160000000</v>
      </c>
      <c r="Q81" s="584">
        <f t="shared" ref="Q81:Q87" si="25">+O81*1.04</f>
        <v>1103595857.9655983</v>
      </c>
      <c r="R81" s="584">
        <v>0</v>
      </c>
      <c r="S81" s="582">
        <f t="shared" si="13"/>
        <v>4502159738.7040586</v>
      </c>
      <c r="T81" s="347" t="s">
        <v>1340</v>
      </c>
      <c r="U81" s="779">
        <f>+S81</f>
        <v>4502159738.7040586</v>
      </c>
      <c r="V81" s="422">
        <v>0</v>
      </c>
      <c r="W81" s="422">
        <v>0</v>
      </c>
      <c r="X81" s="725" t="s">
        <v>1423</v>
      </c>
    </row>
    <row r="82" spans="2:24" ht="191.25" hidden="1">
      <c r="B82" s="961"/>
      <c r="C82" s="762" t="s">
        <v>865</v>
      </c>
      <c r="D82" s="961"/>
      <c r="E82" s="924"/>
      <c r="F82" s="926"/>
      <c r="G82" s="344">
        <v>2</v>
      </c>
      <c r="H82" s="345" t="s">
        <v>426</v>
      </c>
      <c r="I82" s="345" t="s">
        <v>1112</v>
      </c>
      <c r="J82" s="442">
        <v>1</v>
      </c>
      <c r="K82" s="584">
        <f t="shared" si="22"/>
        <v>909086898</v>
      </c>
      <c r="L82" s="584">
        <v>111876966</v>
      </c>
      <c r="M82" s="584">
        <f t="shared" si="23"/>
        <v>995450153.30999994</v>
      </c>
      <c r="N82" s="584">
        <v>161000000</v>
      </c>
      <c r="O82" s="584">
        <f t="shared" si="24"/>
        <v>1061149863.42846</v>
      </c>
      <c r="P82" s="584">
        <v>160000000</v>
      </c>
      <c r="Q82" s="584">
        <f t="shared" si="25"/>
        <v>1103595857.9655983</v>
      </c>
      <c r="R82" s="584">
        <v>0</v>
      </c>
      <c r="S82" s="582">
        <f t="shared" si="13"/>
        <v>4502159738.7040586</v>
      </c>
      <c r="T82" s="347" t="s">
        <v>1340</v>
      </c>
      <c r="U82" s="779">
        <f>+S82</f>
        <v>4502159738.7040586</v>
      </c>
      <c r="V82" s="422">
        <v>0</v>
      </c>
      <c r="W82" s="422">
        <v>0</v>
      </c>
      <c r="X82" s="725" t="s">
        <v>1423</v>
      </c>
    </row>
    <row r="83" spans="2:24" ht="191.25" hidden="1">
      <c r="B83" s="961"/>
      <c r="C83" s="762" t="s">
        <v>865</v>
      </c>
      <c r="D83" s="961"/>
      <c r="E83" s="924"/>
      <c r="F83" s="926"/>
      <c r="G83" s="757">
        <v>3</v>
      </c>
      <c r="H83" s="345" t="s">
        <v>429</v>
      </c>
      <c r="I83" s="345" t="s">
        <v>1113</v>
      </c>
      <c r="J83" s="442">
        <v>1</v>
      </c>
      <c r="K83" s="584">
        <f t="shared" si="22"/>
        <v>909086898</v>
      </c>
      <c r="L83" s="584">
        <v>111876966</v>
      </c>
      <c r="M83" s="584">
        <f t="shared" si="23"/>
        <v>995450153.30999994</v>
      </c>
      <c r="N83" s="584">
        <v>161000000</v>
      </c>
      <c r="O83" s="584">
        <f t="shared" si="24"/>
        <v>1061149863.42846</v>
      </c>
      <c r="P83" s="584">
        <v>160000000</v>
      </c>
      <c r="Q83" s="584">
        <f t="shared" si="25"/>
        <v>1103595857.9655983</v>
      </c>
      <c r="R83" s="584">
        <v>0</v>
      </c>
      <c r="S83" s="582">
        <f t="shared" si="13"/>
        <v>4502159738.7040586</v>
      </c>
      <c r="T83" s="347" t="s">
        <v>1340</v>
      </c>
      <c r="U83" s="779">
        <f>+S83</f>
        <v>4502159738.7040586</v>
      </c>
      <c r="V83" s="422">
        <v>0</v>
      </c>
      <c r="W83" s="422">
        <v>0</v>
      </c>
      <c r="X83" s="725" t="s">
        <v>1423</v>
      </c>
    </row>
    <row r="84" spans="2:24" ht="191.25" hidden="1">
      <c r="B84" s="962"/>
      <c r="C84" s="762" t="s">
        <v>865</v>
      </c>
      <c r="D84" s="962"/>
      <c r="E84" s="921"/>
      <c r="F84" s="927"/>
      <c r="G84" s="757">
        <v>4</v>
      </c>
      <c r="H84" s="436" t="s">
        <v>997</v>
      </c>
      <c r="I84" s="345" t="s">
        <v>1160</v>
      </c>
      <c r="J84" s="477">
        <v>30</v>
      </c>
      <c r="K84" s="584">
        <f t="shared" si="22"/>
        <v>909086898</v>
      </c>
      <c r="L84" s="584">
        <v>111876966</v>
      </c>
      <c r="M84" s="584">
        <f t="shared" si="23"/>
        <v>995450153.30999994</v>
      </c>
      <c r="N84" s="584">
        <v>161000000</v>
      </c>
      <c r="O84" s="584">
        <f t="shared" si="24"/>
        <v>1061149863.42846</v>
      </c>
      <c r="P84" s="584">
        <v>160000000</v>
      </c>
      <c r="Q84" s="584">
        <f t="shared" si="25"/>
        <v>1103595857.9655983</v>
      </c>
      <c r="R84" s="584">
        <v>0</v>
      </c>
      <c r="S84" s="582">
        <f t="shared" si="13"/>
        <v>4502159738.7040586</v>
      </c>
      <c r="T84" s="347" t="s">
        <v>1340</v>
      </c>
      <c r="U84" s="779">
        <f>+S84</f>
        <v>4502159738.7040586</v>
      </c>
      <c r="V84" s="422">
        <v>0</v>
      </c>
      <c r="W84" s="422">
        <v>0</v>
      </c>
      <c r="X84" s="725" t="s">
        <v>1423</v>
      </c>
    </row>
    <row r="85" spans="2:24" ht="191.25" hidden="1">
      <c r="B85" s="575" t="s">
        <v>846</v>
      </c>
      <c r="C85" s="575" t="s">
        <v>863</v>
      </c>
      <c r="D85" s="575" t="s">
        <v>633</v>
      </c>
      <c r="E85" s="749" t="s">
        <v>641</v>
      </c>
      <c r="F85" s="519" t="s">
        <v>1393</v>
      </c>
      <c r="G85" s="718">
        <v>1</v>
      </c>
      <c r="H85" s="409" t="s">
        <v>560</v>
      </c>
      <c r="I85" s="606" t="s">
        <v>1043</v>
      </c>
      <c r="J85" s="784">
        <v>20000</v>
      </c>
      <c r="K85" s="583">
        <f t="shared" si="22"/>
        <v>909086898</v>
      </c>
      <c r="L85" s="583">
        <v>111876966</v>
      </c>
      <c r="M85" s="583">
        <f t="shared" si="23"/>
        <v>995450153.30999994</v>
      </c>
      <c r="N85" s="583">
        <v>161000000</v>
      </c>
      <c r="O85" s="583">
        <f t="shared" si="24"/>
        <v>1061149863.42846</v>
      </c>
      <c r="P85" s="583">
        <v>160000000</v>
      </c>
      <c r="Q85" s="583">
        <f t="shared" si="25"/>
        <v>1103595857.9655983</v>
      </c>
      <c r="R85" s="583">
        <v>0</v>
      </c>
      <c r="S85" s="581">
        <f t="shared" ref="S85:S111" si="26">SUM(K85:R85)</f>
        <v>4502159738.7040586</v>
      </c>
      <c r="T85" s="409" t="s">
        <v>1340</v>
      </c>
      <c r="U85" s="580">
        <f t="shared" si="21"/>
        <v>4502159738.7040586</v>
      </c>
      <c r="V85" s="555">
        <v>0</v>
      </c>
      <c r="W85" s="555">
        <v>0</v>
      </c>
      <c r="X85" s="720" t="s">
        <v>1423</v>
      </c>
    </row>
    <row r="86" spans="2:24" ht="51" hidden="1" customHeight="1">
      <c r="B86" s="960" t="s">
        <v>848</v>
      </c>
      <c r="C86" s="762" t="s">
        <v>865</v>
      </c>
      <c r="D86" s="960" t="s">
        <v>633</v>
      </c>
      <c r="E86" s="920" t="s">
        <v>741</v>
      </c>
      <c r="F86" s="925" t="s">
        <v>646</v>
      </c>
      <c r="G86" s="344">
        <v>1</v>
      </c>
      <c r="H86" s="345" t="s">
        <v>643</v>
      </c>
      <c r="I86" s="345" t="s">
        <v>1080</v>
      </c>
      <c r="J86" s="442">
        <v>1</v>
      </c>
      <c r="K86" s="584">
        <f t="shared" si="22"/>
        <v>909086898</v>
      </c>
      <c r="L86" s="584">
        <v>0</v>
      </c>
      <c r="M86" s="584">
        <f t="shared" si="23"/>
        <v>995450153.30999994</v>
      </c>
      <c r="N86" s="584">
        <v>0</v>
      </c>
      <c r="O86" s="584">
        <f t="shared" si="24"/>
        <v>1061149863.42846</v>
      </c>
      <c r="P86" s="584">
        <v>0</v>
      </c>
      <c r="Q86" s="584">
        <f t="shared" si="25"/>
        <v>1103595857.9655983</v>
      </c>
      <c r="R86" s="584">
        <v>0</v>
      </c>
      <c r="S86" s="582">
        <f t="shared" si="26"/>
        <v>4069282772.7040586</v>
      </c>
      <c r="T86" s="347" t="s">
        <v>1274</v>
      </c>
      <c r="U86" s="779">
        <f t="shared" si="21"/>
        <v>4069282772.7040586</v>
      </c>
      <c r="V86" s="422">
        <v>0</v>
      </c>
      <c r="W86" s="422">
        <v>0</v>
      </c>
      <c r="X86" s="725" t="s">
        <v>1423</v>
      </c>
    </row>
    <row r="87" spans="2:24" ht="114.75" hidden="1">
      <c r="B87" s="961"/>
      <c r="C87" s="762" t="s">
        <v>865</v>
      </c>
      <c r="D87" s="961"/>
      <c r="E87" s="924"/>
      <c r="F87" s="926"/>
      <c r="G87" s="344">
        <v>2</v>
      </c>
      <c r="H87" s="345" t="s">
        <v>1448</v>
      </c>
      <c r="I87" s="345" t="s">
        <v>792</v>
      </c>
      <c r="J87" s="442">
        <v>0.5</v>
      </c>
      <c r="K87" s="584">
        <f>731680185+930795838</f>
        <v>1662476023</v>
      </c>
      <c r="L87" s="585">
        <v>94000000</v>
      </c>
      <c r="M87" s="584">
        <f>+K87*1.095</f>
        <v>1820411245.1849999</v>
      </c>
      <c r="N87" s="585">
        <v>125000000</v>
      </c>
      <c r="O87" s="584">
        <f t="shared" si="24"/>
        <v>1940558387.3672101</v>
      </c>
      <c r="P87" s="585">
        <v>113000000</v>
      </c>
      <c r="Q87" s="584">
        <f t="shared" si="25"/>
        <v>2018180722.8618987</v>
      </c>
      <c r="R87" s="585">
        <v>0</v>
      </c>
      <c r="S87" s="582">
        <f t="shared" si="26"/>
        <v>7773626378.4141083</v>
      </c>
      <c r="T87" s="347" t="s">
        <v>1207</v>
      </c>
      <c r="U87" s="779">
        <f>+S87</f>
        <v>7773626378.4141083</v>
      </c>
      <c r="V87" s="422">
        <v>0</v>
      </c>
      <c r="W87" s="422">
        <v>0</v>
      </c>
      <c r="X87" s="725" t="s">
        <v>1423</v>
      </c>
    </row>
    <row r="88" spans="2:24" ht="51" hidden="1" customHeight="1">
      <c r="B88" s="961"/>
      <c r="C88" s="769" t="s">
        <v>1146</v>
      </c>
      <c r="D88" s="961"/>
      <c r="E88" s="924"/>
      <c r="F88" s="926"/>
      <c r="G88" s="344">
        <v>3</v>
      </c>
      <c r="H88" s="345" t="s">
        <v>645</v>
      </c>
      <c r="I88" s="481" t="s">
        <v>1082</v>
      </c>
      <c r="J88" s="480">
        <v>4</v>
      </c>
      <c r="K88" s="585">
        <v>0</v>
      </c>
      <c r="L88" s="585">
        <v>0</v>
      </c>
      <c r="M88" s="585">
        <v>0</v>
      </c>
      <c r="N88" s="585">
        <v>0</v>
      </c>
      <c r="O88" s="585">
        <v>0</v>
      </c>
      <c r="P88" s="585">
        <v>0</v>
      </c>
      <c r="Q88" s="585">
        <v>0</v>
      </c>
      <c r="R88" s="585">
        <v>0</v>
      </c>
      <c r="S88" s="588">
        <f t="shared" si="26"/>
        <v>0</v>
      </c>
      <c r="T88" s="347" t="s">
        <v>1203</v>
      </c>
      <c r="U88" s="780">
        <v>0</v>
      </c>
      <c r="V88" s="435">
        <v>0</v>
      </c>
      <c r="W88" s="435">
        <v>0</v>
      </c>
      <c r="X88" s="725" t="s">
        <v>1269</v>
      </c>
    </row>
    <row r="89" spans="2:24" ht="129.75" customHeight="1">
      <c r="B89" s="961"/>
      <c r="C89" s="960" t="s">
        <v>865</v>
      </c>
      <c r="D89" s="961"/>
      <c r="E89" s="924"/>
      <c r="F89" s="926"/>
      <c r="G89" s="937">
        <v>4</v>
      </c>
      <c r="H89" s="942" t="s">
        <v>1083</v>
      </c>
      <c r="I89" s="761" t="s">
        <v>1014</v>
      </c>
      <c r="J89" s="482">
        <v>0.5</v>
      </c>
      <c r="K89" s="585">
        <v>0</v>
      </c>
      <c r="L89" s="585">
        <v>125000000</v>
      </c>
      <c r="M89" s="585">
        <v>0</v>
      </c>
      <c r="N89" s="585">
        <v>0</v>
      </c>
      <c r="O89" s="585">
        <v>0</v>
      </c>
      <c r="P89" s="585">
        <v>0</v>
      </c>
      <c r="Q89" s="585">
        <v>0</v>
      </c>
      <c r="R89" s="585">
        <v>0</v>
      </c>
      <c r="S89" s="582">
        <f t="shared" si="26"/>
        <v>125000000</v>
      </c>
      <c r="T89" s="436" t="s">
        <v>1430</v>
      </c>
      <c r="U89" s="779">
        <f>+S89</f>
        <v>125000000</v>
      </c>
      <c r="V89" s="422">
        <v>0</v>
      </c>
      <c r="W89" s="422">
        <v>0</v>
      </c>
      <c r="X89" s="720" t="s">
        <v>1265</v>
      </c>
    </row>
    <row r="90" spans="2:24" ht="46.5" hidden="1" customHeight="1">
      <c r="B90" s="961"/>
      <c r="C90" s="962"/>
      <c r="D90" s="961"/>
      <c r="E90" s="924"/>
      <c r="F90" s="926"/>
      <c r="G90" s="938"/>
      <c r="H90" s="944"/>
      <c r="I90" s="761" t="s">
        <v>1016</v>
      </c>
      <c r="J90" s="482">
        <v>0.2</v>
      </c>
      <c r="K90" s="585">
        <v>0</v>
      </c>
      <c r="L90" s="585">
        <v>0</v>
      </c>
      <c r="M90" s="585">
        <v>0</v>
      </c>
      <c r="N90" s="585">
        <v>0</v>
      </c>
      <c r="O90" s="585">
        <v>0</v>
      </c>
      <c r="P90" s="585">
        <v>0</v>
      </c>
      <c r="Q90" s="585">
        <v>0</v>
      </c>
      <c r="R90" s="585">
        <v>0</v>
      </c>
      <c r="S90" s="582">
        <f t="shared" si="26"/>
        <v>0</v>
      </c>
      <c r="T90" s="778" t="s">
        <v>1204</v>
      </c>
      <c r="U90" s="779">
        <v>0</v>
      </c>
      <c r="V90" s="422">
        <v>0</v>
      </c>
      <c r="W90" s="422">
        <v>0</v>
      </c>
      <c r="X90" s="725" t="s">
        <v>1423</v>
      </c>
    </row>
    <row r="91" spans="2:24" ht="38.25" hidden="1">
      <c r="B91" s="962"/>
      <c r="C91" s="769" t="s">
        <v>1145</v>
      </c>
      <c r="D91" s="962"/>
      <c r="E91" s="921"/>
      <c r="F91" s="927"/>
      <c r="G91" s="757">
        <v>5</v>
      </c>
      <c r="H91" s="484" t="s">
        <v>1004</v>
      </c>
      <c r="I91" s="345" t="s">
        <v>1006</v>
      </c>
      <c r="J91" s="442">
        <v>1</v>
      </c>
      <c r="K91" s="584">
        <v>0</v>
      </c>
      <c r="L91" s="584">
        <v>0</v>
      </c>
      <c r="M91" s="584">
        <v>0</v>
      </c>
      <c r="N91" s="584">
        <v>0</v>
      </c>
      <c r="O91" s="584">
        <v>0</v>
      </c>
      <c r="P91" s="584">
        <v>0</v>
      </c>
      <c r="Q91" s="584">
        <v>0</v>
      </c>
      <c r="R91" s="584">
        <v>0</v>
      </c>
      <c r="S91" s="582">
        <f t="shared" si="26"/>
        <v>0</v>
      </c>
      <c r="T91" s="778" t="s">
        <v>1204</v>
      </c>
      <c r="U91" s="779">
        <v>0</v>
      </c>
      <c r="V91" s="422">
        <v>0</v>
      </c>
      <c r="W91" s="422">
        <v>0</v>
      </c>
      <c r="X91" s="725" t="s">
        <v>1423</v>
      </c>
    </row>
    <row r="92" spans="2:24" s="431" customFormat="1" ht="170.25" customHeight="1">
      <c r="B92" s="954" t="s">
        <v>852</v>
      </c>
      <c r="C92" s="765" t="s">
        <v>1143</v>
      </c>
      <c r="D92" s="954" t="s">
        <v>273</v>
      </c>
      <c r="E92" s="886" t="s">
        <v>647</v>
      </c>
      <c r="F92" s="888" t="s">
        <v>981</v>
      </c>
      <c r="G92" s="718">
        <v>1</v>
      </c>
      <c r="H92" s="409" t="s">
        <v>794</v>
      </c>
      <c r="I92" s="409" t="s">
        <v>531</v>
      </c>
      <c r="J92" s="495">
        <v>1</v>
      </c>
      <c r="K92" s="583">
        <v>436498612</v>
      </c>
      <c r="L92" s="583">
        <v>0</v>
      </c>
      <c r="M92" s="583">
        <v>0</v>
      </c>
      <c r="N92" s="583">
        <v>0</v>
      </c>
      <c r="O92" s="583">
        <v>0</v>
      </c>
      <c r="P92" s="583">
        <v>0</v>
      </c>
      <c r="Q92" s="583">
        <v>0</v>
      </c>
      <c r="R92" s="583">
        <v>0</v>
      </c>
      <c r="S92" s="581">
        <f t="shared" si="26"/>
        <v>436498612</v>
      </c>
      <c r="T92" s="409" t="s">
        <v>1270</v>
      </c>
      <c r="U92" s="580">
        <f>+S92</f>
        <v>436498612</v>
      </c>
      <c r="V92" s="580">
        <v>0</v>
      </c>
      <c r="W92" s="580">
        <v>0</v>
      </c>
      <c r="X92" s="720" t="s">
        <v>1267</v>
      </c>
    </row>
    <row r="93" spans="2:24" ht="139.5" hidden="1" customHeight="1">
      <c r="B93" s="955"/>
      <c r="C93" s="765" t="s">
        <v>1143</v>
      </c>
      <c r="D93" s="955"/>
      <c r="E93" s="904"/>
      <c r="F93" s="908"/>
      <c r="G93" s="914">
        <v>2</v>
      </c>
      <c r="H93" s="939" t="s">
        <v>1248</v>
      </c>
      <c r="I93" s="409" t="s">
        <v>986</v>
      </c>
      <c r="J93" s="550">
        <v>4</v>
      </c>
      <c r="K93" s="583">
        <v>436498612</v>
      </c>
      <c r="L93" s="583">
        <v>0</v>
      </c>
      <c r="M93" s="583">
        <f>+K93*1.095</f>
        <v>477965980.13999999</v>
      </c>
      <c r="N93" s="583">
        <v>0</v>
      </c>
      <c r="O93" s="583">
        <f t="shared" ref="O93:O95" si="27">+M93*1.066</f>
        <v>509511734.82924002</v>
      </c>
      <c r="P93" s="583">
        <v>0</v>
      </c>
      <c r="Q93" s="583">
        <v>0</v>
      </c>
      <c r="R93" s="583">
        <v>0</v>
      </c>
      <c r="S93" s="581">
        <f t="shared" si="26"/>
        <v>1423976326.96924</v>
      </c>
      <c r="T93" s="409" t="s">
        <v>1197</v>
      </c>
      <c r="U93" s="580">
        <f>+S93</f>
        <v>1423976326.96924</v>
      </c>
      <c r="V93" s="555">
        <v>0</v>
      </c>
      <c r="W93" s="555">
        <v>0</v>
      </c>
      <c r="X93" s="720" t="s">
        <v>1423</v>
      </c>
    </row>
    <row r="94" spans="2:24" ht="102" hidden="1">
      <c r="B94" s="955"/>
      <c r="C94" s="765" t="s">
        <v>1143</v>
      </c>
      <c r="D94" s="955"/>
      <c r="E94" s="904"/>
      <c r="F94" s="908"/>
      <c r="G94" s="916"/>
      <c r="H94" s="940"/>
      <c r="I94" s="409" t="s">
        <v>982</v>
      </c>
      <c r="J94" s="551">
        <v>2</v>
      </c>
      <c r="K94" s="583">
        <v>436498612</v>
      </c>
      <c r="L94" s="583">
        <v>0</v>
      </c>
      <c r="M94" s="583">
        <f>+K94*1.095</f>
        <v>477965980.13999999</v>
      </c>
      <c r="N94" s="583">
        <v>0</v>
      </c>
      <c r="O94" s="583">
        <f t="shared" si="27"/>
        <v>509511734.82924002</v>
      </c>
      <c r="P94" s="583">
        <v>0</v>
      </c>
      <c r="Q94" s="583">
        <v>0</v>
      </c>
      <c r="R94" s="583">
        <v>0</v>
      </c>
      <c r="S94" s="581">
        <f t="shared" si="26"/>
        <v>1423976326.96924</v>
      </c>
      <c r="T94" s="409" t="s">
        <v>1197</v>
      </c>
      <c r="U94" s="580">
        <f>+S94</f>
        <v>1423976326.96924</v>
      </c>
      <c r="V94" s="555">
        <v>0</v>
      </c>
      <c r="W94" s="555">
        <v>0</v>
      </c>
      <c r="X94" s="720" t="s">
        <v>1423</v>
      </c>
    </row>
    <row r="95" spans="2:24" ht="127.5">
      <c r="B95" s="955"/>
      <c r="C95" s="765" t="s">
        <v>1143</v>
      </c>
      <c r="D95" s="955"/>
      <c r="E95" s="904"/>
      <c r="F95" s="908"/>
      <c r="G95" s="755">
        <v>3</v>
      </c>
      <c r="H95" s="759" t="s">
        <v>1360</v>
      </c>
      <c r="I95" s="409" t="s">
        <v>1084</v>
      </c>
      <c r="J95" s="550">
        <v>2</v>
      </c>
      <c r="K95" s="583">
        <v>0</v>
      </c>
      <c r="L95" s="583">
        <v>0</v>
      </c>
      <c r="M95" s="583">
        <f>(196293900.48*(1+7.26%))*1.095</f>
        <v>230546597.23205853</v>
      </c>
      <c r="N95" s="583">
        <v>0</v>
      </c>
      <c r="O95" s="583">
        <f t="shared" si="27"/>
        <v>245762672.6493744</v>
      </c>
      <c r="P95" s="583">
        <v>0</v>
      </c>
      <c r="Q95" s="583">
        <f t="shared" ref="Q95" si="28">+O95*1.04</f>
        <v>255593179.55534938</v>
      </c>
      <c r="R95" s="583">
        <v>0</v>
      </c>
      <c r="S95" s="581">
        <f t="shared" si="26"/>
        <v>731902449.43678224</v>
      </c>
      <c r="T95" s="519" t="s">
        <v>1341</v>
      </c>
      <c r="U95" s="580">
        <v>0</v>
      </c>
      <c r="V95" s="555">
        <f>196293900.48*(1+7.26%)*(1+9.5%)+230546597.23*(1+6.6%)+245762672.65*(1+4%)</f>
        <v>731902449.43523848</v>
      </c>
      <c r="W95" s="555">
        <v>0</v>
      </c>
      <c r="X95" s="720" t="s">
        <v>1287</v>
      </c>
    </row>
    <row r="96" spans="2:24" ht="140.25" hidden="1">
      <c r="B96" s="956"/>
      <c r="C96" s="765" t="s">
        <v>1143</v>
      </c>
      <c r="D96" s="956"/>
      <c r="E96" s="887"/>
      <c r="F96" s="889"/>
      <c r="G96" s="750">
        <v>4</v>
      </c>
      <c r="H96" s="519" t="s">
        <v>1165</v>
      </c>
      <c r="I96" s="759" t="s">
        <v>989</v>
      </c>
      <c r="J96" s="520">
        <v>1</v>
      </c>
      <c r="K96" s="583">
        <v>0</v>
      </c>
      <c r="L96" s="583">
        <v>968000000</v>
      </c>
      <c r="M96" s="583">
        <v>0</v>
      </c>
      <c r="N96" s="583">
        <v>872000000</v>
      </c>
      <c r="O96" s="583">
        <v>0</v>
      </c>
      <c r="P96" s="583">
        <v>995000000</v>
      </c>
      <c r="Q96" s="583">
        <v>0</v>
      </c>
      <c r="R96" s="583">
        <v>0</v>
      </c>
      <c r="S96" s="581">
        <f t="shared" si="26"/>
        <v>2835000000</v>
      </c>
      <c r="T96" s="409" t="s">
        <v>1324</v>
      </c>
      <c r="U96" s="580">
        <v>0</v>
      </c>
      <c r="V96" s="555">
        <v>0</v>
      </c>
      <c r="W96" s="555"/>
      <c r="X96" s="720" t="s">
        <v>1423</v>
      </c>
    </row>
    <row r="97" spans="2:24" ht="127.5">
      <c r="B97" s="960" t="s">
        <v>1134</v>
      </c>
      <c r="C97" s="762" t="s">
        <v>876</v>
      </c>
      <c r="D97" s="960" t="s">
        <v>273</v>
      </c>
      <c r="E97" s="920" t="s">
        <v>648</v>
      </c>
      <c r="F97" s="925" t="s">
        <v>968</v>
      </c>
      <c r="G97" s="344">
        <v>1</v>
      </c>
      <c r="H97" s="345" t="s">
        <v>970</v>
      </c>
      <c r="I97" s="345" t="s">
        <v>969</v>
      </c>
      <c r="J97" s="344">
        <v>2</v>
      </c>
      <c r="K97" s="584">
        <v>0</v>
      </c>
      <c r="L97" s="584">
        <v>12100000000</v>
      </c>
      <c r="M97" s="584">
        <v>0</v>
      </c>
      <c r="N97" s="586">
        <v>0</v>
      </c>
      <c r="O97" s="584">
        <v>0</v>
      </c>
      <c r="P97" s="586">
        <v>0</v>
      </c>
      <c r="Q97" s="584">
        <v>0</v>
      </c>
      <c r="R97" s="584">
        <v>0</v>
      </c>
      <c r="S97" s="582">
        <f t="shared" si="26"/>
        <v>12100000000</v>
      </c>
      <c r="T97" s="559" t="s">
        <v>1342</v>
      </c>
      <c r="U97" s="779">
        <f>+S97</f>
        <v>12100000000</v>
      </c>
      <c r="V97" s="422">
        <v>0</v>
      </c>
      <c r="W97" s="422">
        <v>0</v>
      </c>
      <c r="X97" s="720" t="s">
        <v>1267</v>
      </c>
    </row>
    <row r="98" spans="2:24" ht="153">
      <c r="B98" s="961"/>
      <c r="C98" s="762" t="s">
        <v>876</v>
      </c>
      <c r="D98" s="961"/>
      <c r="E98" s="924"/>
      <c r="F98" s="926"/>
      <c r="G98" s="757">
        <v>2</v>
      </c>
      <c r="H98" s="760" t="s">
        <v>971</v>
      </c>
      <c r="I98" s="760" t="s">
        <v>1253</v>
      </c>
      <c r="J98" s="757">
        <v>2</v>
      </c>
      <c r="K98" s="584">
        <v>0</v>
      </c>
      <c r="L98" s="584">
        <v>0</v>
      </c>
      <c r="M98" s="584">
        <v>0</v>
      </c>
      <c r="N98" s="721">
        <f>7220022196+7847850213</f>
        <v>15067872409</v>
      </c>
      <c r="O98" s="584">
        <v>0</v>
      </c>
      <c r="P98" s="585">
        <v>0</v>
      </c>
      <c r="Q98" s="584">
        <v>0</v>
      </c>
      <c r="R98" s="722">
        <v>0</v>
      </c>
      <c r="S98" s="582">
        <f t="shared" si="26"/>
        <v>15067872409</v>
      </c>
      <c r="T98" s="559" t="s">
        <v>1343</v>
      </c>
      <c r="U98" s="779">
        <v>0</v>
      </c>
      <c r="V98" s="422">
        <f>+S98</f>
        <v>15067872409</v>
      </c>
      <c r="W98" s="422">
        <v>0</v>
      </c>
      <c r="X98" s="720" t="s">
        <v>1271</v>
      </c>
    </row>
    <row r="99" spans="2:24" ht="178.5">
      <c r="B99" s="961"/>
      <c r="C99" s="762" t="s">
        <v>876</v>
      </c>
      <c r="D99" s="961"/>
      <c r="E99" s="924"/>
      <c r="F99" s="926"/>
      <c r="G99" s="344">
        <v>3</v>
      </c>
      <c r="H99" s="345" t="s">
        <v>1085</v>
      </c>
      <c r="I99" s="760" t="s">
        <v>973</v>
      </c>
      <c r="J99" s="344">
        <v>2</v>
      </c>
      <c r="K99" s="584">
        <v>0</v>
      </c>
      <c r="L99" s="584">
        <v>0</v>
      </c>
      <c r="M99" s="584">
        <v>0</v>
      </c>
      <c r="N99" s="584">
        <v>0</v>
      </c>
      <c r="O99" s="584">
        <v>0</v>
      </c>
      <c r="P99" s="584">
        <v>0</v>
      </c>
      <c r="Q99" s="584">
        <v>0</v>
      </c>
      <c r="R99" s="722">
        <f>163000000000+177019920000</f>
        <v>340019920000</v>
      </c>
      <c r="S99" s="582">
        <f t="shared" si="26"/>
        <v>340019920000</v>
      </c>
      <c r="T99" s="559" t="s">
        <v>1431</v>
      </c>
      <c r="U99" s="779">
        <v>0</v>
      </c>
      <c r="V99" s="422">
        <v>0</v>
      </c>
      <c r="W99" s="422">
        <f>+S99</f>
        <v>340019920000</v>
      </c>
      <c r="X99" s="720" t="s">
        <v>1267</v>
      </c>
    </row>
    <row r="100" spans="2:24" ht="60" customHeight="1">
      <c r="B100" s="954" t="s">
        <v>757</v>
      </c>
      <c r="C100" s="765" t="s">
        <v>876</v>
      </c>
      <c r="D100" s="954" t="s">
        <v>273</v>
      </c>
      <c r="E100" s="886" t="s">
        <v>649</v>
      </c>
      <c r="F100" s="888" t="s">
        <v>975</v>
      </c>
      <c r="G100" s="718">
        <v>1</v>
      </c>
      <c r="H100" s="552" t="s">
        <v>978</v>
      </c>
      <c r="I100" s="409" t="s">
        <v>976</v>
      </c>
      <c r="J100" s="718">
        <v>2</v>
      </c>
      <c r="K100" s="583">
        <f>986602237+(194969494*1.076)</f>
        <v>1196389412.5439999</v>
      </c>
      <c r="L100" s="583">
        <v>0</v>
      </c>
      <c r="M100" s="583">
        <f>+K100*1.095</f>
        <v>1310046406.7356799</v>
      </c>
      <c r="N100" s="583">
        <v>0</v>
      </c>
      <c r="O100" s="583">
        <v>0</v>
      </c>
      <c r="P100" s="583">
        <v>0</v>
      </c>
      <c r="Q100" s="583">
        <v>0</v>
      </c>
      <c r="R100" s="583">
        <v>0</v>
      </c>
      <c r="S100" s="581">
        <f t="shared" si="26"/>
        <v>2506435819.2796798</v>
      </c>
      <c r="T100" s="560" t="s">
        <v>1199</v>
      </c>
      <c r="U100" s="580">
        <f>+S100</f>
        <v>2506435819.2796798</v>
      </c>
      <c r="V100" s="555">
        <v>0</v>
      </c>
      <c r="W100" s="555">
        <v>0</v>
      </c>
      <c r="X100" s="720" t="s">
        <v>1271</v>
      </c>
    </row>
    <row r="101" spans="2:24" ht="63.75">
      <c r="B101" s="955"/>
      <c r="C101" s="765" t="s">
        <v>876</v>
      </c>
      <c r="D101" s="955"/>
      <c r="E101" s="904"/>
      <c r="F101" s="908"/>
      <c r="G101" s="718">
        <v>2</v>
      </c>
      <c r="H101" s="606" t="s">
        <v>979</v>
      </c>
      <c r="I101" s="409" t="s">
        <v>972</v>
      </c>
      <c r="J101" s="718">
        <v>2</v>
      </c>
      <c r="K101" s="583">
        <v>0</v>
      </c>
      <c r="L101" s="583">
        <v>0</v>
      </c>
      <c r="M101" s="583">
        <v>0</v>
      </c>
      <c r="N101" s="583">
        <v>7253014558</v>
      </c>
      <c r="O101" s="583">
        <v>0</v>
      </c>
      <c r="P101" s="583">
        <v>696135705</v>
      </c>
      <c r="Q101" s="583">
        <v>0</v>
      </c>
      <c r="R101" s="583">
        <v>0</v>
      </c>
      <c r="S101" s="581">
        <f t="shared" si="26"/>
        <v>7949150263</v>
      </c>
      <c r="T101" s="560" t="s">
        <v>1200</v>
      </c>
      <c r="U101" s="580">
        <v>0</v>
      </c>
      <c r="V101" s="555">
        <f>+S101</f>
        <v>7949150263</v>
      </c>
      <c r="W101" s="555"/>
      <c r="X101" s="720" t="s">
        <v>1271</v>
      </c>
    </row>
    <row r="102" spans="2:24" ht="165.75">
      <c r="B102" s="955"/>
      <c r="C102" s="765" t="s">
        <v>876</v>
      </c>
      <c r="D102" s="955"/>
      <c r="E102" s="904"/>
      <c r="F102" s="908"/>
      <c r="G102" s="622">
        <v>3</v>
      </c>
      <c r="H102" s="606" t="s">
        <v>980</v>
      </c>
      <c r="I102" s="409" t="s">
        <v>973</v>
      </c>
      <c r="J102" s="718">
        <v>2</v>
      </c>
      <c r="K102" s="583">
        <v>0</v>
      </c>
      <c r="L102" s="583">
        <v>0</v>
      </c>
      <c r="M102" s="583">
        <v>0</v>
      </c>
      <c r="N102" s="583">
        <v>0</v>
      </c>
      <c r="O102" s="583">
        <v>0</v>
      </c>
      <c r="P102" s="583">
        <v>0</v>
      </c>
      <c r="Q102" s="583">
        <v>0</v>
      </c>
      <c r="R102" s="583">
        <f>545341727146+49565577600</f>
        <v>594907304746</v>
      </c>
      <c r="S102" s="581">
        <f t="shared" si="26"/>
        <v>594907304746</v>
      </c>
      <c r="T102" s="560" t="s">
        <v>1344</v>
      </c>
      <c r="U102" s="580">
        <v>0</v>
      </c>
      <c r="V102" s="555">
        <v>0</v>
      </c>
      <c r="W102" s="555">
        <f>+S102</f>
        <v>594907304746</v>
      </c>
      <c r="X102" s="720" t="s">
        <v>1271</v>
      </c>
    </row>
    <row r="103" spans="2:24" ht="204">
      <c r="B103" s="960" t="s">
        <v>852</v>
      </c>
      <c r="C103" s="769" t="s">
        <v>877</v>
      </c>
      <c r="D103" s="960" t="s">
        <v>273</v>
      </c>
      <c r="E103" s="920" t="s">
        <v>650</v>
      </c>
      <c r="F103" s="933" t="s">
        <v>974</v>
      </c>
      <c r="G103" s="447">
        <v>1</v>
      </c>
      <c r="H103" s="487" t="s">
        <v>1158</v>
      </c>
      <c r="I103" s="462" t="s">
        <v>1319</v>
      </c>
      <c r="J103" s="461">
        <v>1</v>
      </c>
      <c r="K103" s="584">
        <v>1422523657</v>
      </c>
      <c r="L103" s="584">
        <v>2840000000</v>
      </c>
      <c r="M103" s="584">
        <f>+K103*1.085</f>
        <v>1543438167.845</v>
      </c>
      <c r="N103" s="584">
        <v>1985000000</v>
      </c>
      <c r="O103" s="584">
        <f>+M103*1.056</f>
        <v>1629870705.2443202</v>
      </c>
      <c r="P103" s="584">
        <v>1438000000</v>
      </c>
      <c r="Q103" s="584">
        <f>+O103*1.03</f>
        <v>1678766826.4016497</v>
      </c>
      <c r="R103" s="584">
        <v>0</v>
      </c>
      <c r="S103" s="582">
        <f t="shared" si="26"/>
        <v>12537599356.490971</v>
      </c>
      <c r="T103" s="559" t="s">
        <v>1345</v>
      </c>
      <c r="U103" s="779">
        <f t="shared" ref="U103:U108" si="29">+S103</f>
        <v>12537599356.490971</v>
      </c>
      <c r="V103" s="422">
        <v>0</v>
      </c>
      <c r="W103" s="422">
        <v>0</v>
      </c>
      <c r="X103" s="720" t="s">
        <v>1271</v>
      </c>
    </row>
    <row r="104" spans="2:24" ht="153.75" hidden="1">
      <c r="B104" s="962"/>
      <c r="C104" s="769" t="s">
        <v>881</v>
      </c>
      <c r="D104" s="962"/>
      <c r="E104" s="921"/>
      <c r="F104" s="935"/>
      <c r="G104" s="344">
        <v>2</v>
      </c>
      <c r="H104" s="453" t="s">
        <v>659</v>
      </c>
      <c r="I104" s="462" t="s">
        <v>1166</v>
      </c>
      <c r="J104" s="461">
        <v>1</v>
      </c>
      <c r="K104" s="584">
        <v>0</v>
      </c>
      <c r="L104" s="584">
        <v>2840000000</v>
      </c>
      <c r="M104" s="584">
        <v>0</v>
      </c>
      <c r="N104" s="584">
        <v>1985000000</v>
      </c>
      <c r="O104" s="584">
        <v>0</v>
      </c>
      <c r="P104" s="584">
        <v>1438000000</v>
      </c>
      <c r="Q104" s="584">
        <v>0</v>
      </c>
      <c r="R104" s="584">
        <v>0</v>
      </c>
      <c r="S104" s="582">
        <f t="shared" si="26"/>
        <v>6263000000</v>
      </c>
      <c r="T104" s="789" t="s">
        <v>1346</v>
      </c>
      <c r="U104" s="779">
        <f t="shared" si="29"/>
        <v>6263000000</v>
      </c>
      <c r="V104" s="422">
        <v>0</v>
      </c>
      <c r="W104" s="422">
        <v>0</v>
      </c>
      <c r="X104" s="725" t="s">
        <v>1474</v>
      </c>
    </row>
    <row r="105" spans="2:24" ht="114.75" hidden="1">
      <c r="B105" s="575" t="s">
        <v>757</v>
      </c>
      <c r="C105" s="575" t="s">
        <v>1142</v>
      </c>
      <c r="D105" s="575" t="s">
        <v>273</v>
      </c>
      <c r="E105" s="749" t="s">
        <v>651</v>
      </c>
      <c r="F105" s="519" t="s">
        <v>658</v>
      </c>
      <c r="G105" s="718">
        <v>1</v>
      </c>
      <c r="H105" s="409" t="s">
        <v>796</v>
      </c>
      <c r="I105" s="409" t="s">
        <v>797</v>
      </c>
      <c r="J105" s="495">
        <v>0.71</v>
      </c>
      <c r="K105" s="583">
        <v>436498612</v>
      </c>
      <c r="L105" s="583">
        <v>0</v>
      </c>
      <c r="M105" s="583">
        <f>+K105*(1+9.5%)</f>
        <v>477965980.13999999</v>
      </c>
      <c r="N105" s="583">
        <v>0</v>
      </c>
      <c r="O105" s="583">
        <f>+M105*(1+6.6%)</f>
        <v>509511734.82924002</v>
      </c>
      <c r="P105" s="583">
        <v>0</v>
      </c>
      <c r="Q105" s="583">
        <f>+O105*(1+6.6%)</f>
        <v>543139509.32796991</v>
      </c>
      <c r="R105" s="583">
        <v>0</v>
      </c>
      <c r="S105" s="581">
        <f t="shared" si="26"/>
        <v>1967115836.2972097</v>
      </c>
      <c r="T105" s="560" t="s">
        <v>1347</v>
      </c>
      <c r="U105" s="580">
        <f t="shared" si="29"/>
        <v>1967115836.2972097</v>
      </c>
      <c r="V105" s="555">
        <v>0</v>
      </c>
      <c r="W105" s="555">
        <v>0</v>
      </c>
      <c r="X105" s="725" t="s">
        <v>1423</v>
      </c>
    </row>
    <row r="106" spans="2:24" ht="97.5" hidden="1" customHeight="1">
      <c r="B106" s="960" t="s">
        <v>844</v>
      </c>
      <c r="C106" s="960" t="s">
        <v>861</v>
      </c>
      <c r="D106" s="960" t="s">
        <v>574</v>
      </c>
      <c r="E106" s="920" t="s">
        <v>652</v>
      </c>
      <c r="F106" s="925" t="s">
        <v>709</v>
      </c>
      <c r="G106" s="937">
        <v>1</v>
      </c>
      <c r="H106" s="942" t="s">
        <v>1397</v>
      </c>
      <c r="I106" s="345" t="s">
        <v>1009</v>
      </c>
      <c r="J106" s="442">
        <v>1</v>
      </c>
      <c r="K106" s="584">
        <f>1071179501+348434090+235493877+((327128909.76+177057358.08+(2*30887032.32))*1+7.26%)</f>
        <v>2221067800.5525999</v>
      </c>
      <c r="L106" s="584">
        <v>0</v>
      </c>
      <c r="M106" s="584">
        <v>0</v>
      </c>
      <c r="N106" s="584">
        <v>0</v>
      </c>
      <c r="O106" s="584">
        <v>0</v>
      </c>
      <c r="P106" s="584">
        <v>0</v>
      </c>
      <c r="Q106" s="584">
        <v>0</v>
      </c>
      <c r="R106" s="584">
        <v>0</v>
      </c>
      <c r="S106" s="582">
        <f t="shared" si="26"/>
        <v>2221067800.5525999</v>
      </c>
      <c r="T106" s="753" t="s">
        <v>1450</v>
      </c>
      <c r="U106" s="779">
        <f t="shared" si="29"/>
        <v>2221067800.5525999</v>
      </c>
      <c r="V106" s="422">
        <v>0</v>
      </c>
      <c r="W106" s="422">
        <v>0</v>
      </c>
      <c r="X106" s="725" t="s">
        <v>1423</v>
      </c>
    </row>
    <row r="107" spans="2:24" ht="114.75">
      <c r="B107" s="961"/>
      <c r="C107" s="961"/>
      <c r="D107" s="961"/>
      <c r="E107" s="924"/>
      <c r="F107" s="926"/>
      <c r="G107" s="941"/>
      <c r="H107" s="943"/>
      <c r="I107" s="345" t="s">
        <v>1011</v>
      </c>
      <c r="J107" s="442">
        <v>1</v>
      </c>
      <c r="K107" s="584">
        <f>(30887032.32)*1+7.26%</f>
        <v>30887032.3926</v>
      </c>
      <c r="L107" s="584">
        <v>0</v>
      </c>
      <c r="M107" s="584">
        <f>+K107*(1+9.5%)</f>
        <v>33821300.469897002</v>
      </c>
      <c r="N107" s="584">
        <v>0</v>
      </c>
      <c r="O107" s="584">
        <f>+M107*(1+6.6%)</f>
        <v>36053506.300910205</v>
      </c>
      <c r="P107" s="584">
        <v>0</v>
      </c>
      <c r="Q107" s="584">
        <f>+O107*(1+6.6%)</f>
        <v>38433037.716770284</v>
      </c>
      <c r="R107" s="584">
        <v>0</v>
      </c>
      <c r="S107" s="582">
        <f t="shared" si="26"/>
        <v>139194876.8801775</v>
      </c>
      <c r="T107" s="753" t="s">
        <v>1206</v>
      </c>
      <c r="U107" s="779">
        <f t="shared" si="29"/>
        <v>139194876.8801775</v>
      </c>
      <c r="V107" s="422">
        <v>0</v>
      </c>
      <c r="W107" s="422">
        <v>0</v>
      </c>
      <c r="X107" s="720" t="s">
        <v>1289</v>
      </c>
    </row>
    <row r="108" spans="2:24" ht="63.75" hidden="1">
      <c r="B108" s="961"/>
      <c r="C108" s="961"/>
      <c r="D108" s="961"/>
      <c r="E108" s="924"/>
      <c r="F108" s="926"/>
      <c r="G108" s="941"/>
      <c r="H108" s="943"/>
      <c r="I108" s="345" t="s">
        <v>1044</v>
      </c>
      <c r="J108" s="477">
        <v>6</v>
      </c>
      <c r="K108" s="584">
        <f>+(5399642755)*(1+7.26%)+235493877</f>
        <v>6027150696.0129995</v>
      </c>
      <c r="L108" s="584">
        <v>0</v>
      </c>
      <c r="M108" s="584">
        <f>+K108*(1+9.5%)</f>
        <v>6599730012.1342344</v>
      </c>
      <c r="N108" s="584">
        <v>0</v>
      </c>
      <c r="O108" s="584">
        <f>+M108*(1+6.6%)</f>
        <v>7035312192.9350939</v>
      </c>
      <c r="P108" s="584">
        <v>0</v>
      </c>
      <c r="Q108" s="584">
        <f>+O108*(1+6.6%)</f>
        <v>7499642797.6688108</v>
      </c>
      <c r="R108" s="584">
        <v>0</v>
      </c>
      <c r="S108" s="582">
        <f t="shared" si="26"/>
        <v>27161835698.751141</v>
      </c>
      <c r="T108" s="778" t="s">
        <v>1201</v>
      </c>
      <c r="U108" s="779">
        <f t="shared" si="29"/>
        <v>27161835698.751141</v>
      </c>
      <c r="V108" s="422">
        <v>0</v>
      </c>
      <c r="W108" s="422">
        <v>0</v>
      </c>
      <c r="X108" s="725" t="s">
        <v>1423</v>
      </c>
    </row>
    <row r="109" spans="2:24" ht="140.25" hidden="1">
      <c r="B109" s="962"/>
      <c r="C109" s="962"/>
      <c r="D109" s="962"/>
      <c r="E109" s="921"/>
      <c r="F109" s="927"/>
      <c r="G109" s="938"/>
      <c r="H109" s="944"/>
      <c r="I109" s="436" t="s">
        <v>1012</v>
      </c>
      <c r="J109" s="490">
        <v>1</v>
      </c>
      <c r="K109" s="584">
        <v>0</v>
      </c>
      <c r="L109" s="584">
        <v>968000000</v>
      </c>
      <c r="M109" s="584">
        <v>0</v>
      </c>
      <c r="N109" s="584">
        <v>872000000</v>
      </c>
      <c r="O109" s="584">
        <v>0</v>
      </c>
      <c r="P109" s="584">
        <v>995000000</v>
      </c>
      <c r="Q109" s="584">
        <v>0</v>
      </c>
      <c r="R109" s="584">
        <v>0</v>
      </c>
      <c r="S109" s="582">
        <f t="shared" si="26"/>
        <v>2835000000</v>
      </c>
      <c r="T109" s="436" t="s">
        <v>1324</v>
      </c>
      <c r="U109" s="779">
        <v>968000000</v>
      </c>
      <c r="V109" s="422">
        <f>+S109-U109</f>
        <v>1867000000</v>
      </c>
      <c r="W109" s="422">
        <v>0</v>
      </c>
      <c r="X109" s="725" t="s">
        <v>1437</v>
      </c>
    </row>
    <row r="110" spans="2:24" ht="63.75" hidden="1">
      <c r="B110" s="575" t="s">
        <v>757</v>
      </c>
      <c r="C110" s="575" t="s">
        <v>872</v>
      </c>
      <c r="D110" s="575" t="s">
        <v>574</v>
      </c>
      <c r="E110" s="749" t="s">
        <v>653</v>
      </c>
      <c r="F110" s="519" t="s">
        <v>799</v>
      </c>
      <c r="G110" s="718">
        <v>1</v>
      </c>
      <c r="H110" s="409" t="s">
        <v>798</v>
      </c>
      <c r="I110" s="409" t="s">
        <v>168</v>
      </c>
      <c r="J110" s="718" t="s">
        <v>1171</v>
      </c>
      <c r="K110" s="583">
        <v>0</v>
      </c>
      <c r="L110" s="583">
        <v>0</v>
      </c>
      <c r="M110" s="583">
        <v>0</v>
      </c>
      <c r="N110" s="583">
        <v>0</v>
      </c>
      <c r="O110" s="583">
        <v>0</v>
      </c>
      <c r="P110" s="583">
        <v>0</v>
      </c>
      <c r="Q110" s="583">
        <v>0</v>
      </c>
      <c r="R110" s="583">
        <v>0</v>
      </c>
      <c r="S110" s="581">
        <f t="shared" si="26"/>
        <v>0</v>
      </c>
      <c r="T110" s="552" t="s">
        <v>1348</v>
      </c>
      <c r="U110" s="580">
        <v>0</v>
      </c>
      <c r="V110" s="555">
        <v>0</v>
      </c>
      <c r="W110" s="555">
        <v>0</v>
      </c>
      <c r="X110" s="725" t="s">
        <v>1273</v>
      </c>
    </row>
    <row r="111" spans="2:24" ht="63.75" hidden="1">
      <c r="B111" s="769" t="s">
        <v>757</v>
      </c>
      <c r="C111" s="769" t="s">
        <v>872</v>
      </c>
      <c r="D111" s="769" t="s">
        <v>574</v>
      </c>
      <c r="E111" s="756" t="s">
        <v>654</v>
      </c>
      <c r="F111" s="436" t="s">
        <v>860</v>
      </c>
      <c r="G111" s="344">
        <v>1</v>
      </c>
      <c r="H111" s="345" t="s">
        <v>800</v>
      </c>
      <c r="I111" s="345" t="s">
        <v>1100</v>
      </c>
      <c r="J111" s="344" t="s">
        <v>1101</v>
      </c>
      <c r="K111" s="585">
        <v>0</v>
      </c>
      <c r="L111" s="585">
        <v>0</v>
      </c>
      <c r="M111" s="585">
        <v>0</v>
      </c>
      <c r="N111" s="585">
        <v>0</v>
      </c>
      <c r="O111" s="585">
        <v>0</v>
      </c>
      <c r="P111" s="585">
        <v>0</v>
      </c>
      <c r="Q111" s="585">
        <v>0</v>
      </c>
      <c r="R111" s="585">
        <v>0</v>
      </c>
      <c r="S111" s="588">
        <f t="shared" si="26"/>
        <v>0</v>
      </c>
      <c r="T111" s="748" t="s">
        <v>1349</v>
      </c>
      <c r="U111" s="780">
        <v>0</v>
      </c>
      <c r="V111" s="435">
        <v>0</v>
      </c>
      <c r="W111" s="435">
        <v>0</v>
      </c>
      <c r="X111" s="725" t="s">
        <v>1269</v>
      </c>
    </row>
    <row r="112" spans="2:24" ht="76.5" customHeight="1">
      <c r="B112" s="954" t="s">
        <v>845</v>
      </c>
      <c r="C112" s="954" t="s">
        <v>862</v>
      </c>
      <c r="D112" s="954" t="s">
        <v>574</v>
      </c>
      <c r="E112" s="886" t="s">
        <v>655</v>
      </c>
      <c r="F112" s="888" t="s">
        <v>1399</v>
      </c>
      <c r="G112" s="914">
        <v>1</v>
      </c>
      <c r="H112" s="939" t="s">
        <v>510</v>
      </c>
      <c r="I112" s="409" t="s">
        <v>1089</v>
      </c>
      <c r="J112" s="495">
        <v>0.2</v>
      </c>
      <c r="K112" s="583">
        <v>1955657000</v>
      </c>
      <c r="L112" s="583">
        <v>0</v>
      </c>
      <c r="M112" s="583">
        <f>+K112*1.095</f>
        <v>2141444415</v>
      </c>
      <c r="N112" s="583">
        <v>0</v>
      </c>
      <c r="O112" s="583">
        <f>+M112*1.066</f>
        <v>2282779746.3900003</v>
      </c>
      <c r="P112" s="583">
        <v>0</v>
      </c>
      <c r="Q112" s="583">
        <f>+O112*1.04</f>
        <v>2374090936.2456002</v>
      </c>
      <c r="R112" s="583">
        <v>0</v>
      </c>
      <c r="S112" s="581">
        <f t="shared" ref="S112" si="30">SUM(J112:Q112)</f>
        <v>8753972097.8355999</v>
      </c>
      <c r="T112" s="552" t="s">
        <v>1432</v>
      </c>
      <c r="U112" s="777">
        <f>+S112</f>
        <v>8753972097.8355999</v>
      </c>
      <c r="V112" s="555">
        <v>0</v>
      </c>
      <c r="W112" s="555">
        <v>0</v>
      </c>
      <c r="X112" s="720" t="s">
        <v>1267</v>
      </c>
    </row>
    <row r="113" spans="2:24" ht="63.75" hidden="1">
      <c r="B113" s="955"/>
      <c r="C113" s="955"/>
      <c r="D113" s="955"/>
      <c r="E113" s="904"/>
      <c r="F113" s="908"/>
      <c r="G113" s="915"/>
      <c r="H113" s="953"/>
      <c r="I113" s="409" t="s">
        <v>1090</v>
      </c>
      <c r="J113" s="495">
        <v>0.4</v>
      </c>
      <c r="K113" s="583">
        <v>1955657000</v>
      </c>
      <c r="L113" s="583">
        <v>0</v>
      </c>
      <c r="M113" s="583">
        <f>+K113*1.095</f>
        <v>2141444415</v>
      </c>
      <c r="N113" s="583">
        <v>0</v>
      </c>
      <c r="O113" s="583">
        <f>+M113*1.066</f>
        <v>2282779746.3900003</v>
      </c>
      <c r="P113" s="583">
        <v>0</v>
      </c>
      <c r="Q113" s="583">
        <f>+O113*1.04</f>
        <v>2374090936.2456002</v>
      </c>
      <c r="R113" s="583">
        <v>0</v>
      </c>
      <c r="S113" s="581">
        <f>SUM(K113:R113)</f>
        <v>8753972097.635601</v>
      </c>
      <c r="T113" s="552" t="s">
        <v>1432</v>
      </c>
      <c r="U113" s="580">
        <v>0</v>
      </c>
      <c r="V113" s="555">
        <v>0</v>
      </c>
      <c r="W113" s="555">
        <v>0</v>
      </c>
      <c r="X113" s="725" t="s">
        <v>1447</v>
      </c>
    </row>
    <row r="114" spans="2:24" ht="76.5" hidden="1">
      <c r="B114" s="956"/>
      <c r="C114" s="956"/>
      <c r="D114" s="956"/>
      <c r="E114" s="887"/>
      <c r="F114" s="889"/>
      <c r="G114" s="916"/>
      <c r="H114" s="940"/>
      <c r="I114" s="409" t="s">
        <v>1091</v>
      </c>
      <c r="J114" s="495">
        <v>0.2</v>
      </c>
      <c r="K114" s="583">
        <v>0</v>
      </c>
      <c r="L114" s="583">
        <v>0</v>
      </c>
      <c r="M114" s="583">
        <v>0</v>
      </c>
      <c r="N114" s="583">
        <v>0</v>
      </c>
      <c r="O114" s="583">
        <v>0</v>
      </c>
      <c r="P114" s="583">
        <v>0</v>
      </c>
      <c r="Q114" s="583">
        <v>0</v>
      </c>
      <c r="R114" s="583">
        <v>0</v>
      </c>
      <c r="S114" s="581">
        <f>SUM(K114:R114)</f>
        <v>0</v>
      </c>
      <c r="T114" s="552" t="s">
        <v>1438</v>
      </c>
      <c r="U114" s="580">
        <v>0</v>
      </c>
      <c r="V114" s="555">
        <v>0</v>
      </c>
      <c r="W114" s="555">
        <v>0</v>
      </c>
      <c r="X114" s="725" t="s">
        <v>1269</v>
      </c>
    </row>
    <row r="115" spans="2:24" hidden="1">
      <c r="B115"/>
      <c r="C115"/>
      <c r="D115"/>
      <c r="E115"/>
      <c r="G115"/>
      <c r="H115"/>
      <c r="I115"/>
      <c r="J115"/>
      <c r="K115" s="426">
        <f t="shared" ref="K115:S115" si="31">+SUM(K5:K114)</f>
        <v>211867171027.36523</v>
      </c>
      <c r="L115" s="426">
        <f t="shared" si="31"/>
        <v>57556245541</v>
      </c>
      <c r="M115" s="426">
        <f t="shared" si="31"/>
        <v>246094923861.02002</v>
      </c>
      <c r="N115" s="426">
        <f t="shared" si="31"/>
        <v>59812937014.665001</v>
      </c>
      <c r="O115" s="426">
        <f t="shared" si="31"/>
        <v>253808436757.29544</v>
      </c>
      <c r="P115" s="426">
        <f t="shared" si="31"/>
        <v>57616496133.176003</v>
      </c>
      <c r="Q115" s="426">
        <f t="shared" si="31"/>
        <v>249015229190.65701</v>
      </c>
      <c r="R115" s="426">
        <f t="shared" si="31"/>
        <v>935566823448.19092</v>
      </c>
      <c r="S115" s="427">
        <f t="shared" si="31"/>
        <v>2071338262973.5686</v>
      </c>
      <c r="T115" s="433"/>
    </row>
    <row r="116" spans="2:24">
      <c r="G116" s="257"/>
      <c r="H116" s="257"/>
      <c r="I116" s="257"/>
      <c r="J116" s="716"/>
      <c r="K116" s="587">
        <f t="shared" ref="K116:S116" si="32">SUBTOTAL(9,K5:K115)</f>
        <v>72674730645.827805</v>
      </c>
      <c r="L116" s="587">
        <f t="shared" si="32"/>
        <v>19495526966</v>
      </c>
      <c r="M116" s="587">
        <f t="shared" si="32"/>
        <v>91762312616.531403</v>
      </c>
      <c r="N116" s="587">
        <f t="shared" si="32"/>
        <v>30236937014.665001</v>
      </c>
      <c r="O116" s="587">
        <f t="shared" si="32"/>
        <v>92807845195.61618</v>
      </c>
      <c r="P116" s="587">
        <f t="shared" si="32"/>
        <v>10886496133.176001</v>
      </c>
      <c r="Q116" s="587">
        <f t="shared" si="32"/>
        <v>91454580154.032944</v>
      </c>
      <c r="R116" s="587">
        <f t="shared" si="32"/>
        <v>935566823448.19092</v>
      </c>
      <c r="S116" s="587">
        <f t="shared" si="32"/>
        <v>1344885252174.24</v>
      </c>
      <c r="U116" s="587">
        <f>SUBTOTAL(9,U5:U115)</f>
        <v>364292496564.79773</v>
      </c>
      <c r="V116" s="587">
        <f>SUBTOTAL(9,V5:V115)</f>
        <v>39365957329.697876</v>
      </c>
      <c r="W116" s="587">
        <f>SUBTOTAL(9,W5:W115)</f>
        <v>941226798279.74292</v>
      </c>
    </row>
    <row r="117" spans="2:24">
      <c r="G117" s="257"/>
      <c r="H117" s="257"/>
      <c r="I117" s="257"/>
      <c r="J117" s="716"/>
      <c r="K117" s="424"/>
      <c r="L117" s="424"/>
      <c r="M117" s="424"/>
      <c r="N117" s="424"/>
      <c r="O117" s="424"/>
      <c r="P117" s="424"/>
      <c r="Q117" s="424"/>
      <c r="R117" s="424"/>
      <c r="S117" s="430"/>
    </row>
    <row r="118" spans="2:24">
      <c r="G118" s="257"/>
      <c r="H118" s="257"/>
      <c r="I118" s="257"/>
      <c r="J118" s="716"/>
      <c r="K118" s="424"/>
      <c r="L118" s="424"/>
      <c r="M118" s="424"/>
      <c r="N118" s="424"/>
      <c r="O118" s="424"/>
      <c r="P118" s="424"/>
      <c r="Q118" s="424"/>
      <c r="R118" s="424"/>
      <c r="S118" s="430"/>
    </row>
    <row r="119" spans="2:24" ht="15.75">
      <c r="K119" s="983">
        <v>2022</v>
      </c>
      <c r="L119" s="983"/>
      <c r="M119" s="983">
        <v>2023</v>
      </c>
      <c r="N119" s="983"/>
      <c r="O119" s="983">
        <v>2024</v>
      </c>
      <c r="P119" s="983"/>
      <c r="Q119" s="983">
        <v>2025</v>
      </c>
      <c r="R119" s="983"/>
      <c r="S119" s="430"/>
    </row>
    <row r="120" spans="2:24">
      <c r="J120" s="742" t="s">
        <v>1429</v>
      </c>
      <c r="K120" s="723" t="s">
        <v>1174</v>
      </c>
      <c r="L120" s="723" t="s">
        <v>1175</v>
      </c>
      <c r="M120" s="723" t="s">
        <v>1174</v>
      </c>
      <c r="N120" s="723" t="s">
        <v>1175</v>
      </c>
      <c r="O120" s="723" t="s">
        <v>1174</v>
      </c>
      <c r="P120" s="723" t="s">
        <v>1175</v>
      </c>
      <c r="Q120" s="723" t="s">
        <v>1174</v>
      </c>
      <c r="R120" s="723" t="s">
        <v>1175</v>
      </c>
      <c r="S120" s="723" t="s">
        <v>1175</v>
      </c>
      <c r="T120" s="774" t="s">
        <v>1174</v>
      </c>
      <c r="U120" s="774" t="s">
        <v>1263</v>
      </c>
    </row>
    <row r="121" spans="2:24">
      <c r="J121" s="728" t="s">
        <v>1420</v>
      </c>
      <c r="K121" s="729">
        <f>K8+K12+K14+K16+K17+K34+K35+K38+(K44+K45)+(K50+K53)+K54+K55+K64+K65+K73+K77+(K89)+K92+K97+K100+K103+(K107)+K112</f>
        <v>72674730645.827805</v>
      </c>
      <c r="L121" s="729">
        <f>L8+L12+L14+L16+L22+L34+L35+L38+(L44+L45)+(L50+L53)+L54+L55+L64+L65+L73+L77+(L89)+L92+L97+L100+L103+(L107)</f>
        <v>19495526966</v>
      </c>
      <c r="M121" s="729">
        <f>M8+M12+M14+M16+(K17*1.095)+M34+M35+M38+(M44+M45)+(M50+M53)+M54+(M55-2000000000)+M64+M65+M73+M77+(M89)+M92+M97+M100+M103+(M107)+M112</f>
        <v>88150951063.909348</v>
      </c>
      <c r="N121" s="729">
        <f>N8+N12+N14+N16+N34+N35+N38+(N44+N45)+(N50+N53)+N54+N64+N65+N73+N77+(N89)+N92+N97+N100+N103+(N107)</f>
        <v>4775000000</v>
      </c>
      <c r="O121" s="729">
        <f>O8+O12+O14+O16+(M17*1.066*2)+O34+O35+O38+(O44+O45)+(O50+O53)+O54+O55+O64+O65+O73+O77+(O89)+O92+O97+O100+O103+(O107)+O112</f>
        <v>88334102144.347641</v>
      </c>
      <c r="P121" s="729">
        <f>P8+P12+P14+P16+P34+P35+P38+(P44+P45)+(P50+P53)+P54+P64+P65+P73+P77+(P89)+P92+P97+P100+P103+(P107)</f>
        <v>6144000000</v>
      </c>
      <c r="Q121" s="729">
        <f>Q8+Q12+Q14+Q16+(O17*1.04+373572283)+Q34+Q35+Q38+(Q44+Q45)+(Q50+Q53)+Q54+Q55+Q64+Q65+Q73+Q77+(Q89)+Q92+Q97+Q100+Q103+(Q107)+Q112</f>
        <v>84718185744.512955</v>
      </c>
      <c r="R121" s="729">
        <f>R8+R12+R14+R16+R34+R35+R38+(R44+R45)+(R50+R53)+R54+R64+R65+R73+R77+(R89)+R92+R97+R100+R103+(R107)</f>
        <v>0</v>
      </c>
      <c r="S121" s="792">
        <f>+L121+N121+P121+R121</f>
        <v>30414526966</v>
      </c>
      <c r="T121" s="792">
        <f>+K121+M121+O121+Q121</f>
        <v>333877969598.59772</v>
      </c>
      <c r="U121" s="793">
        <f>+T121+S121</f>
        <v>364292496564.59772</v>
      </c>
      <c r="V121" s="741">
        <f>+U121-U116</f>
        <v>-0.20001220703125</v>
      </c>
    </row>
    <row r="122" spans="2:24">
      <c r="J122" s="728" t="s">
        <v>1421</v>
      </c>
      <c r="K122" s="729">
        <f>+K21+K22+K31+K37+K98+K101</f>
        <v>0</v>
      </c>
      <c r="L122" s="729">
        <f>+L21+L31+L37+L95+L98+L101</f>
        <v>0</v>
      </c>
      <c r="M122" s="729">
        <f>+M21+M22+M31+M37+2000000000+M95+M98+M101+1052094747</f>
        <v>3282641344.2320585</v>
      </c>
      <c r="N122" s="729">
        <f>+N21+N22+N31+N37+N95+N98+N101+2116139534</f>
        <v>25309026501</v>
      </c>
      <c r="O122" s="729">
        <f>+O21+O22+O31+O37+O95+O98+O101+1234422448</f>
        <v>3019544934.8365345</v>
      </c>
      <c r="P122" s="729">
        <f>+P21+P22+P31+P37+P95+P98+P101+2660195242</f>
        <v>4431130947</v>
      </c>
      <c r="Q122" s="729">
        <f>+Q21+Q22+Q31+Q37+Q95+Q98+Q101+1295613490</f>
        <v>3152140876.3099957</v>
      </c>
      <c r="R122" s="729">
        <f>+R21+R22+R31+R37+R95+R98+R101+171472726</f>
        <v>171472726</v>
      </c>
      <c r="S122" s="792">
        <f>+L122+N122+P122+R122</f>
        <v>29911630174</v>
      </c>
      <c r="T122" s="792">
        <f t="shared" ref="T122:T124" si="33">+K122+M122+O122+Q122</f>
        <v>9454327155.3785896</v>
      </c>
      <c r="U122" s="793">
        <f t="shared" ref="U122:U124" si="34">+T122+S122</f>
        <v>39365957329.378586</v>
      </c>
      <c r="V122" s="741">
        <f>+U122-V116</f>
        <v>-0.3192901611328125</v>
      </c>
    </row>
    <row r="123" spans="2:24">
      <c r="J123" s="728" t="s">
        <v>1422</v>
      </c>
      <c r="K123" s="729">
        <f>K19+K99+K102</f>
        <v>0</v>
      </c>
      <c r="L123" s="729">
        <f>L19+L99+L102</f>
        <v>0</v>
      </c>
      <c r="M123" s="729">
        <f>M19+M99+M102</f>
        <v>328720208.38999999</v>
      </c>
      <c r="N123" s="729">
        <f>N19+N99+N102</f>
        <v>152910513.66499999</v>
      </c>
      <c r="O123" s="729">
        <f>+O19+O99+O102+1002361090</f>
        <v>1454198116.4320002</v>
      </c>
      <c r="P123" s="729">
        <f>+P19+P99+P102</f>
        <v>311365186.176</v>
      </c>
      <c r="Q123" s="729">
        <f>+Q19+Q99+Q102+2657159659</f>
        <v>3584253533.21</v>
      </c>
      <c r="R123" s="729">
        <f>+R19+R99+R102</f>
        <v>935395350721.87</v>
      </c>
      <c r="S123" s="794">
        <f>+L123+N123+P123+R123</f>
        <v>935859626421.71094</v>
      </c>
      <c r="T123" s="792">
        <f t="shared" si="33"/>
        <v>5367171858.0319996</v>
      </c>
      <c r="U123" s="793">
        <f t="shared" si="34"/>
        <v>941226798279.74292</v>
      </c>
      <c r="V123" s="741">
        <f>+U123-W116</f>
        <v>0</v>
      </c>
    </row>
    <row r="124" spans="2:24">
      <c r="J124" s="790" t="s">
        <v>1263</v>
      </c>
      <c r="K124" s="791">
        <f>+SUM(K121:K123)</f>
        <v>72674730645.827805</v>
      </c>
      <c r="L124" s="791">
        <f t="shared" ref="L124:R124" si="35">+SUM(L121:L123)</f>
        <v>19495526966</v>
      </c>
      <c r="M124" s="791">
        <f t="shared" si="35"/>
        <v>91762312616.531403</v>
      </c>
      <c r="N124" s="791">
        <f t="shared" si="35"/>
        <v>30236937014.665001</v>
      </c>
      <c r="O124" s="791">
        <f t="shared" si="35"/>
        <v>92807845195.61618</v>
      </c>
      <c r="P124" s="791">
        <f t="shared" si="35"/>
        <v>10886496133.176001</v>
      </c>
      <c r="Q124" s="791">
        <f t="shared" si="35"/>
        <v>91454580154.032959</v>
      </c>
      <c r="R124" s="791">
        <f t="shared" si="35"/>
        <v>935566823447.87</v>
      </c>
      <c r="S124" s="795">
        <f>+SUM(S121:S123)</f>
        <v>996185783561.71094</v>
      </c>
      <c r="T124" s="795">
        <f t="shared" si="33"/>
        <v>348699468612.0083</v>
      </c>
      <c r="U124" s="793">
        <f t="shared" si="34"/>
        <v>1344885252173.7192</v>
      </c>
      <c r="V124" s="741">
        <f t="shared" ref="V124" si="36">+U124-U119</f>
        <v>1344885252173.7192</v>
      </c>
    </row>
    <row r="126" spans="2:24" s="429" customFormat="1">
      <c r="B126" s="623"/>
      <c r="C126" s="623"/>
      <c r="D126" s="727"/>
      <c r="E126" s="8"/>
      <c r="F126"/>
      <c r="G126" s="75"/>
      <c r="H126" s="75"/>
      <c r="I126" s="75"/>
      <c r="J126" s="727"/>
      <c r="K126" s="423"/>
      <c r="L126" s="423"/>
      <c r="M126" s="423"/>
      <c r="N126" s="423"/>
      <c r="O126" s="423"/>
      <c r="P126" s="423"/>
      <c r="Q126" s="423"/>
      <c r="R126" s="423"/>
      <c r="T126" s="228"/>
      <c r="U126"/>
      <c r="V126"/>
      <c r="W126"/>
      <c r="X126" s="623"/>
    </row>
    <row r="127" spans="2:24" s="429" customFormat="1">
      <c r="B127" s="623"/>
      <c r="C127" s="623"/>
      <c r="D127" s="727"/>
      <c r="E127" s="8"/>
      <c r="F127"/>
      <c r="G127" s="75"/>
      <c r="H127" s="75"/>
      <c r="I127" s="75"/>
      <c r="J127" s="727"/>
      <c r="K127" s="423"/>
      <c r="L127" s="423"/>
      <c r="M127" s="423"/>
      <c r="N127" s="423"/>
      <c r="O127" s="423"/>
      <c r="P127" s="423"/>
      <c r="Q127" s="423"/>
      <c r="R127" s="423"/>
      <c r="T127" s="228"/>
      <c r="U127"/>
      <c r="V127"/>
      <c r="W127"/>
      <c r="X127" s="623"/>
    </row>
    <row r="129" spans="2:24" s="429" customFormat="1">
      <c r="B129" s="623"/>
      <c r="C129" s="623"/>
      <c r="D129" s="727"/>
      <c r="E129" s="8"/>
      <c r="F129"/>
      <c r="G129" s="75"/>
      <c r="H129" s="75"/>
      <c r="I129" s="75"/>
      <c r="J129" s="727"/>
      <c r="K129" s="423"/>
      <c r="L129" s="423"/>
      <c r="M129" s="423"/>
      <c r="N129" s="423"/>
      <c r="O129" s="423"/>
      <c r="P129" s="423"/>
      <c r="Q129" s="423"/>
      <c r="R129" s="423"/>
      <c r="T129" s="228"/>
      <c r="U129"/>
      <c r="V129"/>
      <c r="W129"/>
      <c r="X129" s="623"/>
    </row>
  </sheetData>
  <autoFilter ref="B3:X115" xr:uid="{00000000-0009-0000-0000-000009000000}">
    <filterColumn colId="3" showButton="0"/>
    <filterColumn colId="5" showButton="0"/>
    <filterColumn colId="22">
      <filters>
        <filter val="Se suma"/>
        <filter val="Se suma considerar solo Biblioteca"/>
        <filter val="Se suma considerar solo CERI"/>
        <filter val="Se suma considerar solo el componente de inversión"/>
        <filter val="Se suma considerar solo el jefe lo demás ya esta en la fila 95"/>
        <filter val="Se suma considerar solo la descarga del director del ILUD"/>
      </filters>
    </filterColumn>
  </autoFilter>
  <mergeCells count="190">
    <mergeCell ref="K2:L2"/>
    <mergeCell ref="M2:N2"/>
    <mergeCell ref="O2:P2"/>
    <mergeCell ref="Q2:R2"/>
    <mergeCell ref="U2:V2"/>
    <mergeCell ref="B3:B4"/>
    <mergeCell ref="C3:C4"/>
    <mergeCell ref="D3:D4"/>
    <mergeCell ref="E3:F4"/>
    <mergeCell ref="G3:H4"/>
    <mergeCell ref="T3:T4"/>
    <mergeCell ref="U3:U4"/>
    <mergeCell ref="V3:V4"/>
    <mergeCell ref="W3:W4"/>
    <mergeCell ref="X3:X4"/>
    <mergeCell ref="B5:B7"/>
    <mergeCell ref="D5:D7"/>
    <mergeCell ref="E5:E7"/>
    <mergeCell ref="F5:F7"/>
    <mergeCell ref="O3:O4"/>
    <mergeCell ref="P3:P4"/>
    <mergeCell ref="Q3:Q4"/>
    <mergeCell ref="R3:R4"/>
    <mergeCell ref="S3:S4"/>
    <mergeCell ref="I3:I4"/>
    <mergeCell ref="J3:J4"/>
    <mergeCell ref="K3:K4"/>
    <mergeCell ref="L3:L4"/>
    <mergeCell ref="M3:M4"/>
    <mergeCell ref="N3:N4"/>
    <mergeCell ref="I11:I12"/>
    <mergeCell ref="J11:J12"/>
    <mergeCell ref="B13:B14"/>
    <mergeCell ref="D13:D14"/>
    <mergeCell ref="E13:E14"/>
    <mergeCell ref="F13:F14"/>
    <mergeCell ref="B8:B10"/>
    <mergeCell ref="D8:D10"/>
    <mergeCell ref="E8:E10"/>
    <mergeCell ref="F8:F10"/>
    <mergeCell ref="B11:B12"/>
    <mergeCell ref="D11:D12"/>
    <mergeCell ref="E11:E12"/>
    <mergeCell ref="F11:F12"/>
    <mergeCell ref="G8:G9"/>
    <mergeCell ref="H8:H9"/>
    <mergeCell ref="B22:B23"/>
    <mergeCell ref="D22:D23"/>
    <mergeCell ref="E22:E23"/>
    <mergeCell ref="F22:F23"/>
    <mergeCell ref="B15:B16"/>
    <mergeCell ref="D15:D16"/>
    <mergeCell ref="E15:E16"/>
    <mergeCell ref="F15:F16"/>
    <mergeCell ref="B17:B18"/>
    <mergeCell ref="C17:C18"/>
    <mergeCell ref="D17:D18"/>
    <mergeCell ref="E17:E18"/>
    <mergeCell ref="F17:F18"/>
    <mergeCell ref="B29:B30"/>
    <mergeCell ref="D29:D30"/>
    <mergeCell ref="E29:E30"/>
    <mergeCell ref="F29:F30"/>
    <mergeCell ref="B31:B32"/>
    <mergeCell ref="D31:D32"/>
    <mergeCell ref="E31:E32"/>
    <mergeCell ref="F31:F32"/>
    <mergeCell ref="B24:B26"/>
    <mergeCell ref="D24:D26"/>
    <mergeCell ref="E24:E26"/>
    <mergeCell ref="F24:F26"/>
    <mergeCell ref="B27:B28"/>
    <mergeCell ref="D27:D28"/>
    <mergeCell ref="E27:E28"/>
    <mergeCell ref="F27:F28"/>
    <mergeCell ref="B38:B39"/>
    <mergeCell ref="D38:D39"/>
    <mergeCell ref="E38:E39"/>
    <mergeCell ref="F38:F39"/>
    <mergeCell ref="B40:B42"/>
    <mergeCell ref="D40:D42"/>
    <mergeCell ref="E40:E42"/>
    <mergeCell ref="F40:F42"/>
    <mergeCell ref="B33:B34"/>
    <mergeCell ref="D33:D34"/>
    <mergeCell ref="E33:E34"/>
    <mergeCell ref="F33:F34"/>
    <mergeCell ref="B35:B37"/>
    <mergeCell ref="D35:D37"/>
    <mergeCell ref="E35:E37"/>
    <mergeCell ref="F35:F37"/>
    <mergeCell ref="B50:B53"/>
    <mergeCell ref="D50:D53"/>
    <mergeCell ref="E50:E53"/>
    <mergeCell ref="F50:F53"/>
    <mergeCell ref="G50:G53"/>
    <mergeCell ref="H50:H53"/>
    <mergeCell ref="B44:B49"/>
    <mergeCell ref="D44:D49"/>
    <mergeCell ref="E44:E49"/>
    <mergeCell ref="F44:F49"/>
    <mergeCell ref="G44:G49"/>
    <mergeCell ref="H44:H49"/>
    <mergeCell ref="H57:H58"/>
    <mergeCell ref="B59:B60"/>
    <mergeCell ref="D59:D60"/>
    <mergeCell ref="E59:E60"/>
    <mergeCell ref="F59:F60"/>
    <mergeCell ref="B62:B64"/>
    <mergeCell ref="D62:D64"/>
    <mergeCell ref="E62:E64"/>
    <mergeCell ref="F62:F64"/>
    <mergeCell ref="G62:G63"/>
    <mergeCell ref="B56:B58"/>
    <mergeCell ref="D56:D58"/>
    <mergeCell ref="E56:E58"/>
    <mergeCell ref="F56:F58"/>
    <mergeCell ref="C57:C58"/>
    <mergeCell ref="G57:G58"/>
    <mergeCell ref="H62:H63"/>
    <mergeCell ref="B65:B68"/>
    <mergeCell ref="D65:D69"/>
    <mergeCell ref="E65:E69"/>
    <mergeCell ref="F65:F69"/>
    <mergeCell ref="B70:B72"/>
    <mergeCell ref="D70:D72"/>
    <mergeCell ref="E70:E72"/>
    <mergeCell ref="F70:F72"/>
    <mergeCell ref="C71:C72"/>
    <mergeCell ref="B78:B79"/>
    <mergeCell ref="D78:D79"/>
    <mergeCell ref="E78:E79"/>
    <mergeCell ref="F78:F79"/>
    <mergeCell ref="G78:G79"/>
    <mergeCell ref="H78:H79"/>
    <mergeCell ref="G71:G72"/>
    <mergeCell ref="H71:H72"/>
    <mergeCell ref="B73:B76"/>
    <mergeCell ref="D73:D76"/>
    <mergeCell ref="E73:E76"/>
    <mergeCell ref="F73:F76"/>
    <mergeCell ref="G73:G76"/>
    <mergeCell ref="H73:H76"/>
    <mergeCell ref="H89:H90"/>
    <mergeCell ref="B92:B96"/>
    <mergeCell ref="D92:D96"/>
    <mergeCell ref="E92:E96"/>
    <mergeCell ref="F92:F96"/>
    <mergeCell ref="G93:G94"/>
    <mergeCell ref="H93:H94"/>
    <mergeCell ref="B81:B84"/>
    <mergeCell ref="D81:D84"/>
    <mergeCell ref="E81:E84"/>
    <mergeCell ref="F81:F84"/>
    <mergeCell ref="B86:B91"/>
    <mergeCell ref="D86:D91"/>
    <mergeCell ref="E86:E91"/>
    <mergeCell ref="F86:F91"/>
    <mergeCell ref="C89:C90"/>
    <mergeCell ref="B97:B99"/>
    <mergeCell ref="D97:D99"/>
    <mergeCell ref="E97:E99"/>
    <mergeCell ref="F97:F99"/>
    <mergeCell ref="B100:B102"/>
    <mergeCell ref="D100:D102"/>
    <mergeCell ref="E100:E102"/>
    <mergeCell ref="F100:F102"/>
    <mergeCell ref="G89:G90"/>
    <mergeCell ref="B103:B104"/>
    <mergeCell ref="D103:D104"/>
    <mergeCell ref="E103:E104"/>
    <mergeCell ref="F103:F104"/>
    <mergeCell ref="B106:B109"/>
    <mergeCell ref="C106:C109"/>
    <mergeCell ref="D106:D109"/>
    <mergeCell ref="E106:E109"/>
    <mergeCell ref="F106:F109"/>
    <mergeCell ref="K119:L119"/>
    <mergeCell ref="M119:N119"/>
    <mergeCell ref="O119:P119"/>
    <mergeCell ref="Q119:R119"/>
    <mergeCell ref="G106:G109"/>
    <mergeCell ref="H106:H109"/>
    <mergeCell ref="B112:B114"/>
    <mergeCell ref="C112:C114"/>
    <mergeCell ref="D112:D114"/>
    <mergeCell ref="E112:E114"/>
    <mergeCell ref="F112:F114"/>
    <mergeCell ref="G112:G114"/>
    <mergeCell ref="H112:H114"/>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B52"/>
  <sheetViews>
    <sheetView showGridLines="0" topLeftCell="A26" zoomScaleNormal="100" workbookViewId="0">
      <selection activeCell="G35" sqref="G35"/>
    </sheetView>
  </sheetViews>
  <sheetFormatPr baseColWidth="10" defaultColWidth="0" defaultRowHeight="15"/>
  <cols>
    <col min="1" max="1" width="4.5703125" style="148" customWidth="1"/>
    <col min="2" max="2" width="36.7109375" style="148" customWidth="1"/>
    <col min="3" max="8" width="19.5703125" style="148" customWidth="1"/>
    <col min="9" max="9" width="19.85546875" style="148" customWidth="1"/>
    <col min="10" max="10" width="19.5703125" style="148" customWidth="1"/>
    <col min="11" max="11" width="17.140625" style="148" customWidth="1"/>
    <col min="12" max="12" width="19.28515625" style="148" customWidth="1"/>
    <col min="13" max="13" width="21.85546875" style="148" customWidth="1"/>
    <col min="14" max="14" width="4.5703125" style="148" customWidth="1"/>
    <col min="15" max="16382" width="0" style="148" hidden="1"/>
    <col min="16383" max="16384" width="11.42578125" style="148" hidden="1"/>
  </cols>
  <sheetData>
    <row r="1" spans="1:1022 1026:2046 2050:3070 3074:4094 4098:5118 5122:6142 6146:7166 7170:8190 8194:9214 9218:10238 10242:11262 11266:12286 12290:13310 13314:14334 14338:15358 15362:16382" ht="17.25" customHeight="1"/>
    <row r="2" spans="1:1022 1026:2046 2050:3070 3074:4094 4098:5118 5122:6142 6146:7166 7170:8190 8194:9214 9218:10238 10242:11262 11266:12286 12290:13310 13314:14334 14338:15358 15362:16382" ht="17.25" customHeight="1">
      <c r="B2" s="999" t="s">
        <v>1482</v>
      </c>
      <c r="C2" s="999"/>
      <c r="D2" s="999"/>
      <c r="E2" s="999"/>
      <c r="F2" s="999"/>
      <c r="G2" s="999"/>
      <c r="H2" s="999"/>
      <c r="I2" s="999"/>
    </row>
    <row r="3" spans="1:1022 1026:2046 2050:3070 3074:4094 4098:5118 5122:6142 6146:7166 7170:8190 8194:9214 9218:10238 10242:11262 11266:12286 12290:13310 13314:14334 14338:15358 15362:16382" ht="9" customHeight="1">
      <c r="C3" s="717"/>
      <c r="D3" s="717"/>
      <c r="E3" s="717"/>
      <c r="F3" s="717"/>
      <c r="G3" s="717"/>
      <c r="H3" s="717"/>
    </row>
    <row r="4" spans="1:1022 1026:2046 2050:3070 3074:4094 4098:5118 5122:6142 6146:7166 7170:8190 8194:9214 9218:10238 10242:11262 11266:12286 12290:13310 13314:14334 14338:15358 15362:16382" ht="31.5" customHeight="1">
      <c r="B4" s="723" t="s">
        <v>1400</v>
      </c>
      <c r="C4" s="986" t="s">
        <v>1401</v>
      </c>
      <c r="D4" s="986"/>
      <c r="E4" s="986"/>
      <c r="F4" s="986" t="s">
        <v>1403</v>
      </c>
      <c r="G4" s="986"/>
      <c r="H4" s="986" t="s">
        <v>1402</v>
      </c>
      <c r="I4" s="986"/>
    </row>
    <row r="5" spans="1:1022 1026:2046 2050:3070 3074:4094 4098:5118 5122:6142 6146:7166 7170:8190 8194:9214 9218:10238 10242:11262 11266:12286 12290:13310 13314:14334 14338:15358 15362:16382" ht="250.5" customHeight="1">
      <c r="B5" s="314" t="s">
        <v>1480</v>
      </c>
      <c r="C5" s="994" t="s">
        <v>1424</v>
      </c>
      <c r="D5" s="994"/>
      <c r="E5" s="994"/>
      <c r="F5" s="994" t="s">
        <v>1484</v>
      </c>
      <c r="G5" s="994"/>
      <c r="H5" s="994" t="s">
        <v>1486</v>
      </c>
      <c r="I5" s="994"/>
    </row>
    <row r="6" spans="1:1022 1026:2046 2050:3070 3074:4094 4098:5118 5122:6142 6146:7166 7170:8190 8194:9214 9218:10238 10242:11262 11266:12286 12290:13310 13314:14334 14338:15358 15362:16382" ht="303" customHeight="1">
      <c r="B6" s="314" t="s">
        <v>575</v>
      </c>
      <c r="C6" s="994" t="s">
        <v>1405</v>
      </c>
      <c r="D6" s="994"/>
      <c r="E6" s="994"/>
      <c r="F6" s="994" t="s">
        <v>1404</v>
      </c>
      <c r="G6" s="994"/>
      <c r="H6" s="994"/>
      <c r="I6" s="994"/>
    </row>
    <row r="7" spans="1:1022 1026:2046 2050:3070 3074:4094 4098:5118 5122:6142 6146:7166 7170:8190 8194:9214 9218:10238 10242:11262 11266:12286 12290:13310 13314:14334 14338:15358 15362:16382" ht="257.25" customHeight="1">
      <c r="B7" s="314" t="s">
        <v>252</v>
      </c>
      <c r="C7" s="994" t="s">
        <v>1412</v>
      </c>
      <c r="D7" s="994"/>
      <c r="E7" s="994"/>
      <c r="F7" s="994"/>
      <c r="G7" s="994"/>
      <c r="H7" s="994"/>
      <c r="I7" s="994"/>
    </row>
    <row r="8" spans="1:1022 1026:2046 2050:3070 3074:4094 4098:5118 5122:6142 6146:7166 7170:8190 8194:9214 9218:10238 10242:11262 11266:12286 12290:13310 13314:14334 14338:15358 15362:16382" ht="280.5" customHeight="1">
      <c r="B8" s="314" t="s">
        <v>573</v>
      </c>
      <c r="C8" s="994" t="s">
        <v>1406</v>
      </c>
      <c r="D8" s="994"/>
      <c r="E8" s="994"/>
      <c r="F8" s="994"/>
      <c r="G8" s="994"/>
      <c r="H8" s="994"/>
      <c r="I8" s="994"/>
    </row>
    <row r="9" spans="1:1022 1026:2046 2050:3070 3074:4094 4098:5118 5122:6142 6146:7166 7170:8190 8194:9214 9218:10238 10242:11262 11266:12286 12290:13310 13314:14334 14338:15358 15362:16382" ht="189" customHeight="1">
      <c r="B9" s="314" t="s">
        <v>633</v>
      </c>
      <c r="C9" s="994" t="s">
        <v>1407</v>
      </c>
      <c r="D9" s="994"/>
      <c r="E9" s="994"/>
      <c r="F9" s="994"/>
      <c r="G9" s="994"/>
      <c r="H9" s="994"/>
      <c r="I9" s="994"/>
    </row>
    <row r="10" spans="1:1022 1026:2046 2050:3070 3074:4094 4098:5118 5122:6142 6146:7166 7170:8190 8194:9214 9218:10238 10242:11262 11266:12286 12290:13310 13314:14334 14338:15358 15362:16382" s="730" customFormat="1" ht="177.75" customHeight="1">
      <c r="A10" s="148"/>
      <c r="B10" s="314" t="s">
        <v>273</v>
      </c>
      <c r="C10" s="994" t="s">
        <v>1411</v>
      </c>
      <c r="D10" s="994"/>
      <c r="E10" s="994"/>
      <c r="F10" s="994" t="s">
        <v>1409</v>
      </c>
      <c r="G10" s="994"/>
      <c r="H10" s="994" t="s">
        <v>1408</v>
      </c>
      <c r="I10" s="994"/>
      <c r="N10" s="731"/>
      <c r="R10" s="731"/>
      <c r="V10" s="731"/>
      <c r="Z10" s="731"/>
      <c r="AD10" s="731"/>
      <c r="AH10" s="731"/>
      <c r="AL10" s="731"/>
      <c r="AP10" s="731"/>
      <c r="AT10" s="731"/>
      <c r="AX10" s="731"/>
      <c r="BB10" s="731"/>
      <c r="BF10" s="731"/>
      <c r="BJ10" s="731"/>
      <c r="BN10" s="731"/>
      <c r="BR10" s="731"/>
      <c r="BV10" s="731"/>
      <c r="BZ10" s="731"/>
      <c r="CD10" s="731"/>
      <c r="CH10" s="731"/>
      <c r="CL10" s="731"/>
      <c r="CP10" s="731"/>
      <c r="CT10" s="731"/>
      <c r="CX10" s="731"/>
      <c r="DB10" s="731"/>
      <c r="DF10" s="731"/>
      <c r="DJ10" s="731"/>
      <c r="DN10" s="731"/>
      <c r="DR10" s="731"/>
      <c r="DV10" s="731"/>
      <c r="DZ10" s="731"/>
      <c r="ED10" s="731"/>
      <c r="EH10" s="731"/>
      <c r="EL10" s="731"/>
      <c r="EP10" s="731"/>
      <c r="ET10" s="731"/>
      <c r="EX10" s="731"/>
      <c r="FB10" s="731"/>
      <c r="FF10" s="731"/>
      <c r="FJ10" s="731"/>
      <c r="FN10" s="731"/>
      <c r="FR10" s="731"/>
      <c r="FV10" s="731"/>
      <c r="FZ10" s="731"/>
      <c r="GD10" s="731"/>
      <c r="GH10" s="731"/>
      <c r="GL10" s="731"/>
      <c r="GP10" s="731"/>
      <c r="GT10" s="731"/>
      <c r="GX10" s="731"/>
      <c r="HB10" s="731"/>
      <c r="HF10" s="731"/>
      <c r="HJ10" s="731"/>
      <c r="HN10" s="731"/>
      <c r="HR10" s="731"/>
      <c r="HV10" s="731"/>
      <c r="HZ10" s="731"/>
      <c r="ID10" s="731"/>
      <c r="IH10" s="731"/>
      <c r="IL10" s="731"/>
      <c r="IP10" s="731"/>
      <c r="IT10" s="731"/>
      <c r="IX10" s="731"/>
      <c r="JB10" s="731"/>
      <c r="JF10" s="731"/>
      <c r="JJ10" s="731"/>
      <c r="JN10" s="731"/>
      <c r="JR10" s="731"/>
      <c r="JV10" s="731"/>
      <c r="JZ10" s="731"/>
      <c r="KD10" s="731"/>
      <c r="KH10" s="731"/>
      <c r="KL10" s="731"/>
      <c r="KP10" s="731"/>
      <c r="KT10" s="731"/>
      <c r="KX10" s="731"/>
      <c r="LB10" s="731"/>
      <c r="LF10" s="731"/>
      <c r="LJ10" s="731"/>
      <c r="LN10" s="731"/>
      <c r="LR10" s="731"/>
      <c r="LV10" s="731"/>
      <c r="LZ10" s="731"/>
      <c r="MD10" s="731"/>
      <c r="MH10" s="731"/>
      <c r="ML10" s="731"/>
      <c r="MP10" s="731"/>
      <c r="MT10" s="731"/>
      <c r="MX10" s="731"/>
      <c r="NB10" s="731"/>
      <c r="NF10" s="731"/>
      <c r="NJ10" s="731"/>
      <c r="NN10" s="731"/>
      <c r="NR10" s="731"/>
      <c r="NV10" s="731"/>
      <c r="NZ10" s="731"/>
      <c r="OD10" s="731"/>
      <c r="OH10" s="731"/>
      <c r="OL10" s="731"/>
      <c r="OP10" s="731"/>
      <c r="OT10" s="731"/>
      <c r="OX10" s="731"/>
      <c r="PB10" s="731"/>
      <c r="PF10" s="731"/>
      <c r="PJ10" s="731"/>
      <c r="PN10" s="731"/>
      <c r="PR10" s="731"/>
      <c r="PV10" s="731"/>
      <c r="PZ10" s="731"/>
      <c r="QD10" s="731"/>
      <c r="QH10" s="731"/>
      <c r="QL10" s="731"/>
      <c r="QP10" s="731"/>
      <c r="QT10" s="731"/>
      <c r="QX10" s="731"/>
      <c r="RB10" s="731"/>
      <c r="RF10" s="731"/>
      <c r="RJ10" s="731"/>
      <c r="RN10" s="731"/>
      <c r="RR10" s="731"/>
      <c r="RV10" s="731"/>
      <c r="RZ10" s="731"/>
      <c r="SD10" s="731"/>
      <c r="SH10" s="731"/>
      <c r="SL10" s="731"/>
      <c r="SP10" s="731"/>
      <c r="ST10" s="731"/>
      <c r="SX10" s="731"/>
      <c r="TB10" s="731"/>
      <c r="TF10" s="731"/>
      <c r="TJ10" s="731"/>
      <c r="TN10" s="731"/>
      <c r="TR10" s="731"/>
      <c r="TV10" s="731"/>
      <c r="TZ10" s="731"/>
      <c r="UD10" s="731"/>
      <c r="UH10" s="731"/>
      <c r="UL10" s="731"/>
      <c r="UP10" s="731"/>
      <c r="UT10" s="731"/>
      <c r="UX10" s="731"/>
      <c r="VB10" s="731"/>
      <c r="VF10" s="731"/>
      <c r="VJ10" s="731"/>
      <c r="VN10" s="731"/>
      <c r="VR10" s="731"/>
      <c r="VV10" s="731"/>
      <c r="VZ10" s="731"/>
      <c r="WD10" s="731"/>
      <c r="WH10" s="731"/>
      <c r="WL10" s="731"/>
      <c r="WP10" s="731"/>
      <c r="WT10" s="731"/>
      <c r="WX10" s="731"/>
      <c r="XB10" s="731"/>
      <c r="XF10" s="731"/>
      <c r="XJ10" s="731"/>
      <c r="XN10" s="731"/>
      <c r="XR10" s="731"/>
      <c r="XV10" s="731"/>
      <c r="XZ10" s="731"/>
      <c r="YD10" s="731"/>
      <c r="YH10" s="731"/>
      <c r="YL10" s="731"/>
      <c r="YP10" s="731"/>
      <c r="YT10" s="731"/>
      <c r="YX10" s="731"/>
      <c r="ZB10" s="731"/>
      <c r="ZF10" s="731"/>
      <c r="ZJ10" s="731"/>
      <c r="ZN10" s="731"/>
      <c r="ZR10" s="731"/>
      <c r="ZV10" s="731"/>
      <c r="ZZ10" s="731"/>
      <c r="AAD10" s="731"/>
      <c r="AAH10" s="731"/>
      <c r="AAL10" s="731"/>
      <c r="AAP10" s="731"/>
      <c r="AAT10" s="731"/>
      <c r="AAX10" s="731"/>
      <c r="ABB10" s="731"/>
      <c r="ABF10" s="731"/>
      <c r="ABJ10" s="731"/>
      <c r="ABN10" s="731"/>
      <c r="ABR10" s="731"/>
      <c r="ABV10" s="731"/>
      <c r="ABZ10" s="731"/>
      <c r="ACD10" s="731"/>
      <c r="ACH10" s="731"/>
      <c r="ACL10" s="731"/>
      <c r="ACP10" s="731"/>
      <c r="ACT10" s="731"/>
      <c r="ACX10" s="731"/>
      <c r="ADB10" s="731"/>
      <c r="ADF10" s="731"/>
      <c r="ADJ10" s="731"/>
      <c r="ADN10" s="731"/>
      <c r="ADR10" s="731"/>
      <c r="ADV10" s="731"/>
      <c r="ADZ10" s="731"/>
      <c r="AED10" s="731"/>
      <c r="AEH10" s="731"/>
      <c r="AEL10" s="731"/>
      <c r="AEP10" s="731"/>
      <c r="AET10" s="731"/>
      <c r="AEX10" s="731"/>
      <c r="AFB10" s="731"/>
      <c r="AFF10" s="731"/>
      <c r="AFJ10" s="731"/>
      <c r="AFN10" s="731"/>
      <c r="AFR10" s="731"/>
      <c r="AFV10" s="731"/>
      <c r="AFZ10" s="731"/>
      <c r="AGD10" s="731"/>
      <c r="AGH10" s="731"/>
      <c r="AGL10" s="731"/>
      <c r="AGP10" s="731"/>
      <c r="AGT10" s="731"/>
      <c r="AGX10" s="731"/>
      <c r="AHB10" s="731"/>
      <c r="AHF10" s="731"/>
      <c r="AHJ10" s="731"/>
      <c r="AHN10" s="731"/>
      <c r="AHR10" s="731"/>
      <c r="AHV10" s="731"/>
      <c r="AHZ10" s="731"/>
      <c r="AID10" s="731"/>
      <c r="AIH10" s="731"/>
      <c r="AIL10" s="731"/>
      <c r="AIP10" s="731"/>
      <c r="AIT10" s="731"/>
      <c r="AIX10" s="731"/>
      <c r="AJB10" s="731"/>
      <c r="AJF10" s="731"/>
      <c r="AJJ10" s="731"/>
      <c r="AJN10" s="731"/>
      <c r="AJR10" s="731"/>
      <c r="AJV10" s="731"/>
      <c r="AJZ10" s="731"/>
      <c r="AKD10" s="731"/>
      <c r="AKH10" s="731"/>
      <c r="AKL10" s="731"/>
      <c r="AKP10" s="731"/>
      <c r="AKT10" s="731"/>
      <c r="AKX10" s="731"/>
      <c r="ALB10" s="731"/>
      <c r="ALF10" s="731"/>
      <c r="ALJ10" s="731"/>
      <c r="ALN10" s="731"/>
      <c r="ALR10" s="731"/>
      <c r="ALV10" s="731"/>
      <c r="ALZ10" s="731"/>
      <c r="AMD10" s="731"/>
      <c r="AMH10" s="731"/>
      <c r="AML10" s="731"/>
      <c r="AMP10" s="731"/>
      <c r="AMT10" s="731"/>
      <c r="AMX10" s="731"/>
      <c r="ANB10" s="731"/>
      <c r="ANF10" s="731"/>
      <c r="ANJ10" s="731"/>
      <c r="ANN10" s="731"/>
      <c r="ANR10" s="731"/>
      <c r="ANV10" s="731"/>
      <c r="ANZ10" s="731"/>
      <c r="AOD10" s="731"/>
      <c r="AOH10" s="731"/>
      <c r="AOL10" s="731"/>
      <c r="AOP10" s="731"/>
      <c r="AOT10" s="731"/>
      <c r="AOX10" s="731"/>
      <c r="APB10" s="731"/>
      <c r="APF10" s="731"/>
      <c r="APJ10" s="731"/>
      <c r="APN10" s="731"/>
      <c r="APR10" s="731"/>
      <c r="APV10" s="731"/>
      <c r="APZ10" s="731"/>
      <c r="AQD10" s="731"/>
      <c r="AQH10" s="731"/>
      <c r="AQL10" s="731"/>
      <c r="AQP10" s="731"/>
      <c r="AQT10" s="731"/>
      <c r="AQX10" s="731"/>
      <c r="ARB10" s="731"/>
      <c r="ARF10" s="731"/>
      <c r="ARJ10" s="731"/>
      <c r="ARN10" s="731"/>
      <c r="ARR10" s="731"/>
      <c r="ARV10" s="731"/>
      <c r="ARZ10" s="731"/>
      <c r="ASD10" s="731"/>
      <c r="ASH10" s="731"/>
      <c r="ASL10" s="731"/>
      <c r="ASP10" s="731"/>
      <c r="AST10" s="731"/>
      <c r="ASX10" s="731"/>
      <c r="ATB10" s="731"/>
      <c r="ATF10" s="731"/>
      <c r="ATJ10" s="731"/>
      <c r="ATN10" s="731"/>
      <c r="ATR10" s="731"/>
      <c r="ATV10" s="731"/>
      <c r="ATZ10" s="731"/>
      <c r="AUD10" s="731"/>
      <c r="AUH10" s="731"/>
      <c r="AUL10" s="731"/>
      <c r="AUP10" s="731"/>
      <c r="AUT10" s="731"/>
      <c r="AUX10" s="731"/>
      <c r="AVB10" s="731"/>
      <c r="AVF10" s="731"/>
      <c r="AVJ10" s="731"/>
      <c r="AVN10" s="731"/>
      <c r="AVR10" s="731"/>
      <c r="AVV10" s="731"/>
      <c r="AVZ10" s="731"/>
      <c r="AWD10" s="731"/>
      <c r="AWH10" s="731"/>
      <c r="AWL10" s="731"/>
      <c r="AWP10" s="731"/>
      <c r="AWT10" s="731"/>
      <c r="AWX10" s="731"/>
      <c r="AXB10" s="731"/>
      <c r="AXF10" s="731"/>
      <c r="AXJ10" s="731"/>
      <c r="AXN10" s="731"/>
      <c r="AXR10" s="731"/>
      <c r="AXV10" s="731"/>
      <c r="AXZ10" s="731"/>
      <c r="AYD10" s="731"/>
      <c r="AYH10" s="731"/>
      <c r="AYL10" s="731"/>
      <c r="AYP10" s="731"/>
      <c r="AYT10" s="731"/>
      <c r="AYX10" s="731"/>
      <c r="AZB10" s="731"/>
      <c r="AZF10" s="731"/>
      <c r="AZJ10" s="731"/>
      <c r="AZN10" s="731"/>
      <c r="AZR10" s="731"/>
      <c r="AZV10" s="731"/>
      <c r="AZZ10" s="731"/>
      <c r="BAD10" s="731"/>
      <c r="BAH10" s="731"/>
      <c r="BAL10" s="731"/>
      <c r="BAP10" s="731"/>
      <c r="BAT10" s="731"/>
      <c r="BAX10" s="731"/>
      <c r="BBB10" s="731"/>
      <c r="BBF10" s="731"/>
      <c r="BBJ10" s="731"/>
      <c r="BBN10" s="731"/>
      <c r="BBR10" s="731"/>
      <c r="BBV10" s="731"/>
      <c r="BBZ10" s="731"/>
      <c r="BCD10" s="731"/>
      <c r="BCH10" s="731"/>
      <c r="BCL10" s="731"/>
      <c r="BCP10" s="731"/>
      <c r="BCT10" s="731"/>
      <c r="BCX10" s="731"/>
      <c r="BDB10" s="731"/>
      <c r="BDF10" s="731"/>
      <c r="BDJ10" s="731"/>
      <c r="BDN10" s="731"/>
      <c r="BDR10" s="731"/>
      <c r="BDV10" s="731"/>
      <c r="BDZ10" s="731"/>
      <c r="BED10" s="731"/>
      <c r="BEH10" s="731"/>
      <c r="BEL10" s="731"/>
      <c r="BEP10" s="731"/>
      <c r="BET10" s="731"/>
      <c r="BEX10" s="731"/>
      <c r="BFB10" s="731"/>
      <c r="BFF10" s="731"/>
      <c r="BFJ10" s="731"/>
      <c r="BFN10" s="731"/>
      <c r="BFR10" s="731"/>
      <c r="BFV10" s="731"/>
      <c r="BFZ10" s="731"/>
      <c r="BGD10" s="731"/>
      <c r="BGH10" s="731"/>
      <c r="BGL10" s="731"/>
      <c r="BGP10" s="731"/>
      <c r="BGT10" s="731"/>
      <c r="BGX10" s="731"/>
      <c r="BHB10" s="731"/>
      <c r="BHF10" s="731"/>
      <c r="BHJ10" s="731"/>
      <c r="BHN10" s="731"/>
      <c r="BHR10" s="731"/>
      <c r="BHV10" s="731"/>
      <c r="BHZ10" s="731"/>
      <c r="BID10" s="731"/>
      <c r="BIH10" s="731"/>
      <c r="BIL10" s="731"/>
      <c r="BIP10" s="731"/>
      <c r="BIT10" s="731"/>
      <c r="BIX10" s="731"/>
      <c r="BJB10" s="731"/>
      <c r="BJF10" s="731"/>
      <c r="BJJ10" s="731"/>
      <c r="BJN10" s="731"/>
      <c r="BJR10" s="731"/>
      <c r="BJV10" s="731"/>
      <c r="BJZ10" s="731"/>
      <c r="BKD10" s="731"/>
      <c r="BKH10" s="731"/>
      <c r="BKL10" s="731"/>
      <c r="BKP10" s="731"/>
      <c r="BKT10" s="731"/>
      <c r="BKX10" s="731"/>
      <c r="BLB10" s="731"/>
      <c r="BLF10" s="731"/>
      <c r="BLJ10" s="731"/>
      <c r="BLN10" s="731"/>
      <c r="BLR10" s="731"/>
      <c r="BLV10" s="731"/>
      <c r="BLZ10" s="731"/>
      <c r="BMD10" s="731"/>
      <c r="BMH10" s="731"/>
      <c r="BML10" s="731"/>
      <c r="BMP10" s="731"/>
      <c r="BMT10" s="731"/>
      <c r="BMX10" s="731"/>
      <c r="BNB10" s="731"/>
      <c r="BNF10" s="731"/>
      <c r="BNJ10" s="731"/>
      <c r="BNN10" s="731"/>
      <c r="BNR10" s="731"/>
      <c r="BNV10" s="731"/>
      <c r="BNZ10" s="731"/>
      <c r="BOD10" s="731"/>
      <c r="BOH10" s="731"/>
      <c r="BOL10" s="731"/>
      <c r="BOP10" s="731"/>
      <c r="BOT10" s="731"/>
      <c r="BOX10" s="731"/>
      <c r="BPB10" s="731"/>
      <c r="BPF10" s="731"/>
      <c r="BPJ10" s="731"/>
      <c r="BPN10" s="731"/>
      <c r="BPR10" s="731"/>
      <c r="BPV10" s="731"/>
      <c r="BPZ10" s="731"/>
      <c r="BQD10" s="731"/>
      <c r="BQH10" s="731"/>
      <c r="BQL10" s="731"/>
      <c r="BQP10" s="731"/>
      <c r="BQT10" s="731"/>
      <c r="BQX10" s="731"/>
      <c r="BRB10" s="731"/>
      <c r="BRF10" s="731"/>
      <c r="BRJ10" s="731"/>
      <c r="BRN10" s="731"/>
      <c r="BRR10" s="731"/>
      <c r="BRV10" s="731"/>
      <c r="BRZ10" s="731"/>
      <c r="BSD10" s="731"/>
      <c r="BSH10" s="731"/>
      <c r="BSL10" s="731"/>
      <c r="BSP10" s="731"/>
      <c r="BST10" s="731"/>
      <c r="BSX10" s="731"/>
      <c r="BTB10" s="731"/>
      <c r="BTF10" s="731"/>
      <c r="BTJ10" s="731"/>
      <c r="BTN10" s="731"/>
      <c r="BTR10" s="731"/>
      <c r="BTV10" s="731"/>
      <c r="BTZ10" s="731"/>
      <c r="BUD10" s="731"/>
      <c r="BUH10" s="731"/>
      <c r="BUL10" s="731"/>
      <c r="BUP10" s="731"/>
      <c r="BUT10" s="731"/>
      <c r="BUX10" s="731"/>
      <c r="BVB10" s="731"/>
      <c r="BVF10" s="731"/>
      <c r="BVJ10" s="731"/>
      <c r="BVN10" s="731"/>
      <c r="BVR10" s="731"/>
      <c r="BVV10" s="731"/>
      <c r="BVZ10" s="731"/>
      <c r="BWD10" s="731"/>
      <c r="BWH10" s="731"/>
      <c r="BWL10" s="731"/>
      <c r="BWP10" s="731"/>
      <c r="BWT10" s="731"/>
      <c r="BWX10" s="731"/>
      <c r="BXB10" s="731"/>
      <c r="BXF10" s="731"/>
      <c r="BXJ10" s="731"/>
      <c r="BXN10" s="731"/>
      <c r="BXR10" s="731"/>
      <c r="BXV10" s="731"/>
      <c r="BXZ10" s="731"/>
      <c r="BYD10" s="731"/>
      <c r="BYH10" s="731"/>
      <c r="BYL10" s="731"/>
      <c r="BYP10" s="731"/>
      <c r="BYT10" s="731"/>
      <c r="BYX10" s="731"/>
      <c r="BZB10" s="731"/>
      <c r="BZF10" s="731"/>
      <c r="BZJ10" s="731"/>
      <c r="BZN10" s="731"/>
      <c r="BZR10" s="731"/>
      <c r="BZV10" s="731"/>
      <c r="BZZ10" s="731"/>
      <c r="CAD10" s="731"/>
      <c r="CAH10" s="731"/>
      <c r="CAL10" s="731"/>
      <c r="CAP10" s="731"/>
      <c r="CAT10" s="731"/>
      <c r="CAX10" s="731"/>
      <c r="CBB10" s="731"/>
      <c r="CBF10" s="731"/>
      <c r="CBJ10" s="731"/>
      <c r="CBN10" s="731"/>
      <c r="CBR10" s="731"/>
      <c r="CBV10" s="731"/>
      <c r="CBZ10" s="731"/>
      <c r="CCD10" s="731"/>
      <c r="CCH10" s="731"/>
      <c r="CCL10" s="731"/>
      <c r="CCP10" s="731"/>
      <c r="CCT10" s="731"/>
      <c r="CCX10" s="731"/>
      <c r="CDB10" s="731"/>
      <c r="CDF10" s="731"/>
      <c r="CDJ10" s="731"/>
      <c r="CDN10" s="731"/>
      <c r="CDR10" s="731"/>
      <c r="CDV10" s="731"/>
      <c r="CDZ10" s="731"/>
      <c r="CED10" s="731"/>
      <c r="CEH10" s="731"/>
      <c r="CEL10" s="731"/>
      <c r="CEP10" s="731"/>
      <c r="CET10" s="731"/>
      <c r="CEX10" s="731"/>
      <c r="CFB10" s="731"/>
      <c r="CFF10" s="731"/>
      <c r="CFJ10" s="731"/>
      <c r="CFN10" s="731"/>
      <c r="CFR10" s="731"/>
      <c r="CFV10" s="731"/>
      <c r="CFZ10" s="731"/>
      <c r="CGD10" s="731"/>
      <c r="CGH10" s="731"/>
      <c r="CGL10" s="731"/>
      <c r="CGP10" s="731"/>
      <c r="CGT10" s="731"/>
      <c r="CGX10" s="731"/>
      <c r="CHB10" s="731"/>
      <c r="CHF10" s="731"/>
      <c r="CHJ10" s="731"/>
      <c r="CHN10" s="731"/>
      <c r="CHR10" s="731"/>
      <c r="CHV10" s="731"/>
      <c r="CHZ10" s="731"/>
      <c r="CID10" s="731"/>
      <c r="CIH10" s="731"/>
      <c r="CIL10" s="731"/>
      <c r="CIP10" s="731"/>
      <c r="CIT10" s="731"/>
      <c r="CIX10" s="731"/>
      <c r="CJB10" s="731"/>
      <c r="CJF10" s="731"/>
      <c r="CJJ10" s="731"/>
      <c r="CJN10" s="731"/>
      <c r="CJR10" s="731"/>
      <c r="CJV10" s="731"/>
      <c r="CJZ10" s="731"/>
      <c r="CKD10" s="731"/>
      <c r="CKH10" s="731"/>
      <c r="CKL10" s="731"/>
      <c r="CKP10" s="731"/>
      <c r="CKT10" s="731"/>
      <c r="CKX10" s="731"/>
      <c r="CLB10" s="731"/>
      <c r="CLF10" s="731"/>
      <c r="CLJ10" s="731"/>
      <c r="CLN10" s="731"/>
      <c r="CLR10" s="731"/>
      <c r="CLV10" s="731"/>
      <c r="CLZ10" s="731"/>
      <c r="CMD10" s="731"/>
      <c r="CMH10" s="731"/>
      <c r="CML10" s="731"/>
      <c r="CMP10" s="731"/>
      <c r="CMT10" s="731"/>
      <c r="CMX10" s="731"/>
      <c r="CNB10" s="731"/>
      <c r="CNF10" s="731"/>
      <c r="CNJ10" s="731"/>
      <c r="CNN10" s="731"/>
      <c r="CNR10" s="731"/>
      <c r="CNV10" s="731"/>
      <c r="CNZ10" s="731"/>
      <c r="COD10" s="731"/>
      <c r="COH10" s="731"/>
      <c r="COL10" s="731"/>
      <c r="COP10" s="731"/>
      <c r="COT10" s="731"/>
      <c r="COX10" s="731"/>
      <c r="CPB10" s="731"/>
      <c r="CPF10" s="731"/>
      <c r="CPJ10" s="731"/>
      <c r="CPN10" s="731"/>
      <c r="CPR10" s="731"/>
      <c r="CPV10" s="731"/>
      <c r="CPZ10" s="731"/>
      <c r="CQD10" s="731"/>
      <c r="CQH10" s="731"/>
      <c r="CQL10" s="731"/>
      <c r="CQP10" s="731"/>
      <c r="CQT10" s="731"/>
      <c r="CQX10" s="731"/>
      <c r="CRB10" s="731"/>
      <c r="CRF10" s="731"/>
      <c r="CRJ10" s="731"/>
      <c r="CRN10" s="731"/>
      <c r="CRR10" s="731"/>
      <c r="CRV10" s="731"/>
      <c r="CRZ10" s="731"/>
      <c r="CSD10" s="731"/>
      <c r="CSH10" s="731"/>
      <c r="CSL10" s="731"/>
      <c r="CSP10" s="731"/>
      <c r="CST10" s="731"/>
      <c r="CSX10" s="731"/>
      <c r="CTB10" s="731"/>
      <c r="CTF10" s="731"/>
      <c r="CTJ10" s="731"/>
      <c r="CTN10" s="731"/>
      <c r="CTR10" s="731"/>
      <c r="CTV10" s="731"/>
      <c r="CTZ10" s="731"/>
      <c r="CUD10" s="731"/>
      <c r="CUH10" s="731"/>
      <c r="CUL10" s="731"/>
      <c r="CUP10" s="731"/>
      <c r="CUT10" s="731"/>
      <c r="CUX10" s="731"/>
      <c r="CVB10" s="731"/>
      <c r="CVF10" s="731"/>
      <c r="CVJ10" s="731"/>
      <c r="CVN10" s="731"/>
      <c r="CVR10" s="731"/>
      <c r="CVV10" s="731"/>
      <c r="CVZ10" s="731"/>
      <c r="CWD10" s="731"/>
      <c r="CWH10" s="731"/>
      <c r="CWL10" s="731"/>
      <c r="CWP10" s="731"/>
      <c r="CWT10" s="731"/>
      <c r="CWX10" s="731"/>
      <c r="CXB10" s="731"/>
      <c r="CXF10" s="731"/>
      <c r="CXJ10" s="731"/>
      <c r="CXN10" s="731"/>
      <c r="CXR10" s="731"/>
      <c r="CXV10" s="731"/>
      <c r="CXZ10" s="731"/>
      <c r="CYD10" s="731"/>
      <c r="CYH10" s="731"/>
      <c r="CYL10" s="731"/>
      <c r="CYP10" s="731"/>
      <c r="CYT10" s="731"/>
      <c r="CYX10" s="731"/>
      <c r="CZB10" s="731"/>
      <c r="CZF10" s="731"/>
      <c r="CZJ10" s="731"/>
      <c r="CZN10" s="731"/>
      <c r="CZR10" s="731"/>
      <c r="CZV10" s="731"/>
      <c r="CZZ10" s="731"/>
      <c r="DAD10" s="731"/>
      <c r="DAH10" s="731"/>
      <c r="DAL10" s="731"/>
      <c r="DAP10" s="731"/>
      <c r="DAT10" s="731"/>
      <c r="DAX10" s="731"/>
      <c r="DBB10" s="731"/>
      <c r="DBF10" s="731"/>
      <c r="DBJ10" s="731"/>
      <c r="DBN10" s="731"/>
      <c r="DBR10" s="731"/>
      <c r="DBV10" s="731"/>
      <c r="DBZ10" s="731"/>
      <c r="DCD10" s="731"/>
      <c r="DCH10" s="731"/>
      <c r="DCL10" s="731"/>
      <c r="DCP10" s="731"/>
      <c r="DCT10" s="731"/>
      <c r="DCX10" s="731"/>
      <c r="DDB10" s="731"/>
      <c r="DDF10" s="731"/>
      <c r="DDJ10" s="731"/>
      <c r="DDN10" s="731"/>
      <c r="DDR10" s="731"/>
      <c r="DDV10" s="731"/>
      <c r="DDZ10" s="731"/>
      <c r="DED10" s="731"/>
      <c r="DEH10" s="731"/>
      <c r="DEL10" s="731"/>
      <c r="DEP10" s="731"/>
      <c r="DET10" s="731"/>
      <c r="DEX10" s="731"/>
      <c r="DFB10" s="731"/>
      <c r="DFF10" s="731"/>
      <c r="DFJ10" s="731"/>
      <c r="DFN10" s="731"/>
      <c r="DFR10" s="731"/>
      <c r="DFV10" s="731"/>
      <c r="DFZ10" s="731"/>
      <c r="DGD10" s="731"/>
      <c r="DGH10" s="731"/>
      <c r="DGL10" s="731"/>
      <c r="DGP10" s="731"/>
      <c r="DGT10" s="731"/>
      <c r="DGX10" s="731"/>
      <c r="DHB10" s="731"/>
      <c r="DHF10" s="731"/>
      <c r="DHJ10" s="731"/>
      <c r="DHN10" s="731"/>
      <c r="DHR10" s="731"/>
      <c r="DHV10" s="731"/>
      <c r="DHZ10" s="731"/>
      <c r="DID10" s="731"/>
      <c r="DIH10" s="731"/>
      <c r="DIL10" s="731"/>
      <c r="DIP10" s="731"/>
      <c r="DIT10" s="731"/>
      <c r="DIX10" s="731"/>
      <c r="DJB10" s="731"/>
      <c r="DJF10" s="731"/>
      <c r="DJJ10" s="731"/>
      <c r="DJN10" s="731"/>
      <c r="DJR10" s="731"/>
      <c r="DJV10" s="731"/>
      <c r="DJZ10" s="731"/>
      <c r="DKD10" s="731"/>
      <c r="DKH10" s="731"/>
      <c r="DKL10" s="731"/>
      <c r="DKP10" s="731"/>
      <c r="DKT10" s="731"/>
      <c r="DKX10" s="731"/>
      <c r="DLB10" s="731"/>
      <c r="DLF10" s="731"/>
      <c r="DLJ10" s="731"/>
      <c r="DLN10" s="731"/>
      <c r="DLR10" s="731"/>
      <c r="DLV10" s="731"/>
      <c r="DLZ10" s="731"/>
      <c r="DMD10" s="731"/>
      <c r="DMH10" s="731"/>
      <c r="DML10" s="731"/>
      <c r="DMP10" s="731"/>
      <c r="DMT10" s="731"/>
      <c r="DMX10" s="731"/>
      <c r="DNB10" s="731"/>
      <c r="DNF10" s="731"/>
      <c r="DNJ10" s="731"/>
      <c r="DNN10" s="731"/>
      <c r="DNR10" s="731"/>
      <c r="DNV10" s="731"/>
      <c r="DNZ10" s="731"/>
      <c r="DOD10" s="731"/>
      <c r="DOH10" s="731"/>
      <c r="DOL10" s="731"/>
      <c r="DOP10" s="731"/>
      <c r="DOT10" s="731"/>
      <c r="DOX10" s="731"/>
      <c r="DPB10" s="731"/>
      <c r="DPF10" s="731"/>
      <c r="DPJ10" s="731"/>
      <c r="DPN10" s="731"/>
      <c r="DPR10" s="731"/>
      <c r="DPV10" s="731"/>
      <c r="DPZ10" s="731"/>
      <c r="DQD10" s="731"/>
      <c r="DQH10" s="731"/>
      <c r="DQL10" s="731"/>
      <c r="DQP10" s="731"/>
      <c r="DQT10" s="731"/>
      <c r="DQX10" s="731"/>
      <c r="DRB10" s="731"/>
      <c r="DRF10" s="731"/>
      <c r="DRJ10" s="731"/>
      <c r="DRN10" s="731"/>
      <c r="DRR10" s="731"/>
      <c r="DRV10" s="731"/>
      <c r="DRZ10" s="731"/>
      <c r="DSD10" s="731"/>
      <c r="DSH10" s="731"/>
      <c r="DSL10" s="731"/>
      <c r="DSP10" s="731"/>
      <c r="DST10" s="731"/>
      <c r="DSX10" s="731"/>
      <c r="DTB10" s="731"/>
      <c r="DTF10" s="731"/>
      <c r="DTJ10" s="731"/>
      <c r="DTN10" s="731"/>
      <c r="DTR10" s="731"/>
      <c r="DTV10" s="731"/>
      <c r="DTZ10" s="731"/>
      <c r="DUD10" s="731"/>
      <c r="DUH10" s="731"/>
      <c r="DUL10" s="731"/>
      <c r="DUP10" s="731"/>
      <c r="DUT10" s="731"/>
      <c r="DUX10" s="731"/>
      <c r="DVB10" s="731"/>
      <c r="DVF10" s="731"/>
      <c r="DVJ10" s="731"/>
      <c r="DVN10" s="731"/>
      <c r="DVR10" s="731"/>
      <c r="DVV10" s="731"/>
      <c r="DVZ10" s="731"/>
      <c r="DWD10" s="731"/>
      <c r="DWH10" s="731"/>
      <c r="DWL10" s="731"/>
      <c r="DWP10" s="731"/>
      <c r="DWT10" s="731"/>
      <c r="DWX10" s="731"/>
      <c r="DXB10" s="731"/>
      <c r="DXF10" s="731"/>
      <c r="DXJ10" s="731"/>
      <c r="DXN10" s="731"/>
      <c r="DXR10" s="731"/>
      <c r="DXV10" s="731"/>
      <c r="DXZ10" s="731"/>
      <c r="DYD10" s="731"/>
      <c r="DYH10" s="731"/>
      <c r="DYL10" s="731"/>
      <c r="DYP10" s="731"/>
      <c r="DYT10" s="731"/>
      <c r="DYX10" s="731"/>
      <c r="DZB10" s="731"/>
      <c r="DZF10" s="731"/>
      <c r="DZJ10" s="731"/>
      <c r="DZN10" s="731"/>
      <c r="DZR10" s="731"/>
      <c r="DZV10" s="731"/>
      <c r="DZZ10" s="731"/>
      <c r="EAD10" s="731"/>
      <c r="EAH10" s="731"/>
      <c r="EAL10" s="731"/>
      <c r="EAP10" s="731"/>
      <c r="EAT10" s="731"/>
      <c r="EAX10" s="731"/>
      <c r="EBB10" s="731"/>
      <c r="EBF10" s="731"/>
      <c r="EBJ10" s="731"/>
      <c r="EBN10" s="731"/>
      <c r="EBR10" s="731"/>
      <c r="EBV10" s="731"/>
      <c r="EBZ10" s="731"/>
      <c r="ECD10" s="731"/>
      <c r="ECH10" s="731"/>
      <c r="ECL10" s="731"/>
      <c r="ECP10" s="731"/>
      <c r="ECT10" s="731"/>
      <c r="ECX10" s="731"/>
      <c r="EDB10" s="731"/>
      <c r="EDF10" s="731"/>
      <c r="EDJ10" s="731"/>
      <c r="EDN10" s="731"/>
      <c r="EDR10" s="731"/>
      <c r="EDV10" s="731"/>
      <c r="EDZ10" s="731"/>
      <c r="EED10" s="731"/>
      <c r="EEH10" s="731"/>
      <c r="EEL10" s="731"/>
      <c r="EEP10" s="731"/>
      <c r="EET10" s="731"/>
      <c r="EEX10" s="731"/>
      <c r="EFB10" s="731"/>
      <c r="EFF10" s="731"/>
      <c r="EFJ10" s="731"/>
      <c r="EFN10" s="731"/>
      <c r="EFR10" s="731"/>
      <c r="EFV10" s="731"/>
      <c r="EFZ10" s="731"/>
      <c r="EGD10" s="731"/>
      <c r="EGH10" s="731"/>
      <c r="EGL10" s="731"/>
      <c r="EGP10" s="731"/>
      <c r="EGT10" s="731"/>
      <c r="EGX10" s="731"/>
      <c r="EHB10" s="731"/>
      <c r="EHF10" s="731"/>
      <c r="EHJ10" s="731"/>
      <c r="EHN10" s="731"/>
      <c r="EHR10" s="731"/>
      <c r="EHV10" s="731"/>
      <c r="EHZ10" s="731"/>
      <c r="EID10" s="731"/>
      <c r="EIH10" s="731"/>
      <c r="EIL10" s="731"/>
      <c r="EIP10" s="731"/>
      <c r="EIT10" s="731"/>
      <c r="EIX10" s="731"/>
      <c r="EJB10" s="731"/>
      <c r="EJF10" s="731"/>
      <c r="EJJ10" s="731"/>
      <c r="EJN10" s="731"/>
      <c r="EJR10" s="731"/>
      <c r="EJV10" s="731"/>
      <c r="EJZ10" s="731"/>
      <c r="EKD10" s="731"/>
      <c r="EKH10" s="731"/>
      <c r="EKL10" s="731"/>
      <c r="EKP10" s="731"/>
      <c r="EKT10" s="731"/>
      <c r="EKX10" s="731"/>
      <c r="ELB10" s="731"/>
      <c r="ELF10" s="731"/>
      <c r="ELJ10" s="731"/>
      <c r="ELN10" s="731"/>
      <c r="ELR10" s="731"/>
      <c r="ELV10" s="731"/>
      <c r="ELZ10" s="731"/>
      <c r="EMD10" s="731"/>
      <c r="EMH10" s="731"/>
      <c r="EML10" s="731"/>
      <c r="EMP10" s="731"/>
      <c r="EMT10" s="731"/>
      <c r="EMX10" s="731"/>
      <c r="ENB10" s="731"/>
      <c r="ENF10" s="731"/>
      <c r="ENJ10" s="731"/>
      <c r="ENN10" s="731"/>
      <c r="ENR10" s="731"/>
      <c r="ENV10" s="731"/>
      <c r="ENZ10" s="731"/>
      <c r="EOD10" s="731"/>
      <c r="EOH10" s="731"/>
      <c r="EOL10" s="731"/>
      <c r="EOP10" s="731"/>
      <c r="EOT10" s="731"/>
      <c r="EOX10" s="731"/>
      <c r="EPB10" s="731"/>
      <c r="EPF10" s="731"/>
      <c r="EPJ10" s="731"/>
      <c r="EPN10" s="731"/>
      <c r="EPR10" s="731"/>
      <c r="EPV10" s="731"/>
      <c r="EPZ10" s="731"/>
      <c r="EQD10" s="731"/>
      <c r="EQH10" s="731"/>
      <c r="EQL10" s="731"/>
      <c r="EQP10" s="731"/>
      <c r="EQT10" s="731"/>
      <c r="EQX10" s="731"/>
      <c r="ERB10" s="731"/>
      <c r="ERF10" s="731"/>
      <c r="ERJ10" s="731"/>
      <c r="ERN10" s="731"/>
      <c r="ERR10" s="731"/>
      <c r="ERV10" s="731"/>
      <c r="ERZ10" s="731"/>
      <c r="ESD10" s="731"/>
      <c r="ESH10" s="731"/>
      <c r="ESL10" s="731"/>
      <c r="ESP10" s="731"/>
      <c r="EST10" s="731"/>
      <c r="ESX10" s="731"/>
      <c r="ETB10" s="731"/>
      <c r="ETF10" s="731"/>
      <c r="ETJ10" s="731"/>
      <c r="ETN10" s="731"/>
      <c r="ETR10" s="731"/>
      <c r="ETV10" s="731"/>
      <c r="ETZ10" s="731"/>
      <c r="EUD10" s="731"/>
      <c r="EUH10" s="731"/>
      <c r="EUL10" s="731"/>
      <c r="EUP10" s="731"/>
      <c r="EUT10" s="731"/>
      <c r="EUX10" s="731"/>
      <c r="EVB10" s="731"/>
      <c r="EVF10" s="731"/>
      <c r="EVJ10" s="731"/>
      <c r="EVN10" s="731"/>
      <c r="EVR10" s="731"/>
      <c r="EVV10" s="731"/>
      <c r="EVZ10" s="731"/>
      <c r="EWD10" s="731"/>
      <c r="EWH10" s="731"/>
      <c r="EWL10" s="731"/>
      <c r="EWP10" s="731"/>
      <c r="EWT10" s="731"/>
      <c r="EWX10" s="731"/>
      <c r="EXB10" s="731"/>
      <c r="EXF10" s="731"/>
      <c r="EXJ10" s="731"/>
      <c r="EXN10" s="731"/>
      <c r="EXR10" s="731"/>
      <c r="EXV10" s="731"/>
      <c r="EXZ10" s="731"/>
      <c r="EYD10" s="731"/>
      <c r="EYH10" s="731"/>
      <c r="EYL10" s="731"/>
      <c r="EYP10" s="731"/>
      <c r="EYT10" s="731"/>
      <c r="EYX10" s="731"/>
      <c r="EZB10" s="731"/>
      <c r="EZF10" s="731"/>
      <c r="EZJ10" s="731"/>
      <c r="EZN10" s="731"/>
      <c r="EZR10" s="731"/>
      <c r="EZV10" s="731"/>
      <c r="EZZ10" s="731"/>
      <c r="FAD10" s="731"/>
      <c r="FAH10" s="731"/>
      <c r="FAL10" s="731"/>
      <c r="FAP10" s="731"/>
      <c r="FAT10" s="731"/>
      <c r="FAX10" s="731"/>
      <c r="FBB10" s="731"/>
      <c r="FBF10" s="731"/>
      <c r="FBJ10" s="731"/>
      <c r="FBN10" s="731"/>
      <c r="FBR10" s="731"/>
      <c r="FBV10" s="731"/>
      <c r="FBZ10" s="731"/>
      <c r="FCD10" s="731"/>
      <c r="FCH10" s="731"/>
      <c r="FCL10" s="731"/>
      <c r="FCP10" s="731"/>
      <c r="FCT10" s="731"/>
      <c r="FCX10" s="731"/>
      <c r="FDB10" s="731"/>
      <c r="FDF10" s="731"/>
      <c r="FDJ10" s="731"/>
      <c r="FDN10" s="731"/>
      <c r="FDR10" s="731"/>
      <c r="FDV10" s="731"/>
      <c r="FDZ10" s="731"/>
      <c r="FED10" s="731"/>
      <c r="FEH10" s="731"/>
      <c r="FEL10" s="731"/>
      <c r="FEP10" s="731"/>
      <c r="FET10" s="731"/>
      <c r="FEX10" s="731"/>
      <c r="FFB10" s="731"/>
      <c r="FFF10" s="731"/>
      <c r="FFJ10" s="731"/>
      <c r="FFN10" s="731"/>
      <c r="FFR10" s="731"/>
      <c r="FFV10" s="731"/>
      <c r="FFZ10" s="731"/>
      <c r="FGD10" s="731"/>
      <c r="FGH10" s="731"/>
      <c r="FGL10" s="731"/>
      <c r="FGP10" s="731"/>
      <c r="FGT10" s="731"/>
      <c r="FGX10" s="731"/>
      <c r="FHB10" s="731"/>
      <c r="FHF10" s="731"/>
      <c r="FHJ10" s="731"/>
      <c r="FHN10" s="731"/>
      <c r="FHR10" s="731"/>
      <c r="FHV10" s="731"/>
      <c r="FHZ10" s="731"/>
      <c r="FID10" s="731"/>
      <c r="FIH10" s="731"/>
      <c r="FIL10" s="731"/>
      <c r="FIP10" s="731"/>
      <c r="FIT10" s="731"/>
      <c r="FIX10" s="731"/>
      <c r="FJB10" s="731"/>
      <c r="FJF10" s="731"/>
      <c r="FJJ10" s="731"/>
      <c r="FJN10" s="731"/>
      <c r="FJR10" s="731"/>
      <c r="FJV10" s="731"/>
      <c r="FJZ10" s="731"/>
      <c r="FKD10" s="731"/>
      <c r="FKH10" s="731"/>
      <c r="FKL10" s="731"/>
      <c r="FKP10" s="731"/>
      <c r="FKT10" s="731"/>
      <c r="FKX10" s="731"/>
      <c r="FLB10" s="731"/>
      <c r="FLF10" s="731"/>
      <c r="FLJ10" s="731"/>
      <c r="FLN10" s="731"/>
      <c r="FLR10" s="731"/>
      <c r="FLV10" s="731"/>
      <c r="FLZ10" s="731"/>
      <c r="FMD10" s="731"/>
      <c r="FMH10" s="731"/>
      <c r="FML10" s="731"/>
      <c r="FMP10" s="731"/>
      <c r="FMT10" s="731"/>
      <c r="FMX10" s="731"/>
      <c r="FNB10" s="731"/>
      <c r="FNF10" s="731"/>
      <c r="FNJ10" s="731"/>
      <c r="FNN10" s="731"/>
      <c r="FNR10" s="731"/>
      <c r="FNV10" s="731"/>
      <c r="FNZ10" s="731"/>
      <c r="FOD10" s="731"/>
      <c r="FOH10" s="731"/>
      <c r="FOL10" s="731"/>
      <c r="FOP10" s="731"/>
      <c r="FOT10" s="731"/>
      <c r="FOX10" s="731"/>
      <c r="FPB10" s="731"/>
      <c r="FPF10" s="731"/>
      <c r="FPJ10" s="731"/>
      <c r="FPN10" s="731"/>
      <c r="FPR10" s="731"/>
      <c r="FPV10" s="731"/>
      <c r="FPZ10" s="731"/>
      <c r="FQD10" s="731"/>
      <c r="FQH10" s="731"/>
      <c r="FQL10" s="731"/>
      <c r="FQP10" s="731"/>
      <c r="FQT10" s="731"/>
      <c r="FQX10" s="731"/>
      <c r="FRB10" s="731"/>
      <c r="FRF10" s="731"/>
      <c r="FRJ10" s="731"/>
      <c r="FRN10" s="731"/>
      <c r="FRR10" s="731"/>
      <c r="FRV10" s="731"/>
      <c r="FRZ10" s="731"/>
      <c r="FSD10" s="731"/>
      <c r="FSH10" s="731"/>
      <c r="FSL10" s="731"/>
      <c r="FSP10" s="731"/>
      <c r="FST10" s="731"/>
      <c r="FSX10" s="731"/>
      <c r="FTB10" s="731"/>
      <c r="FTF10" s="731"/>
      <c r="FTJ10" s="731"/>
      <c r="FTN10" s="731"/>
      <c r="FTR10" s="731"/>
      <c r="FTV10" s="731"/>
      <c r="FTZ10" s="731"/>
      <c r="FUD10" s="731"/>
      <c r="FUH10" s="731"/>
      <c r="FUL10" s="731"/>
      <c r="FUP10" s="731"/>
      <c r="FUT10" s="731"/>
      <c r="FUX10" s="731"/>
      <c r="FVB10" s="731"/>
      <c r="FVF10" s="731"/>
      <c r="FVJ10" s="731"/>
      <c r="FVN10" s="731"/>
      <c r="FVR10" s="731"/>
      <c r="FVV10" s="731"/>
      <c r="FVZ10" s="731"/>
      <c r="FWD10" s="731"/>
      <c r="FWH10" s="731"/>
      <c r="FWL10" s="731"/>
      <c r="FWP10" s="731"/>
      <c r="FWT10" s="731"/>
      <c r="FWX10" s="731"/>
      <c r="FXB10" s="731"/>
      <c r="FXF10" s="731"/>
      <c r="FXJ10" s="731"/>
      <c r="FXN10" s="731"/>
      <c r="FXR10" s="731"/>
      <c r="FXV10" s="731"/>
      <c r="FXZ10" s="731"/>
      <c r="FYD10" s="731"/>
      <c r="FYH10" s="731"/>
      <c r="FYL10" s="731"/>
      <c r="FYP10" s="731"/>
      <c r="FYT10" s="731"/>
      <c r="FYX10" s="731"/>
      <c r="FZB10" s="731"/>
      <c r="FZF10" s="731"/>
      <c r="FZJ10" s="731"/>
      <c r="FZN10" s="731"/>
      <c r="FZR10" s="731"/>
      <c r="FZV10" s="731"/>
      <c r="FZZ10" s="731"/>
      <c r="GAD10" s="731"/>
      <c r="GAH10" s="731"/>
      <c r="GAL10" s="731"/>
      <c r="GAP10" s="731"/>
      <c r="GAT10" s="731"/>
      <c r="GAX10" s="731"/>
      <c r="GBB10" s="731"/>
      <c r="GBF10" s="731"/>
      <c r="GBJ10" s="731"/>
      <c r="GBN10" s="731"/>
      <c r="GBR10" s="731"/>
      <c r="GBV10" s="731"/>
      <c r="GBZ10" s="731"/>
      <c r="GCD10" s="731"/>
      <c r="GCH10" s="731"/>
      <c r="GCL10" s="731"/>
      <c r="GCP10" s="731"/>
      <c r="GCT10" s="731"/>
      <c r="GCX10" s="731"/>
      <c r="GDB10" s="731"/>
      <c r="GDF10" s="731"/>
      <c r="GDJ10" s="731"/>
      <c r="GDN10" s="731"/>
      <c r="GDR10" s="731"/>
      <c r="GDV10" s="731"/>
      <c r="GDZ10" s="731"/>
      <c r="GED10" s="731"/>
      <c r="GEH10" s="731"/>
      <c r="GEL10" s="731"/>
      <c r="GEP10" s="731"/>
      <c r="GET10" s="731"/>
      <c r="GEX10" s="731"/>
      <c r="GFB10" s="731"/>
      <c r="GFF10" s="731"/>
      <c r="GFJ10" s="731"/>
      <c r="GFN10" s="731"/>
      <c r="GFR10" s="731"/>
      <c r="GFV10" s="731"/>
      <c r="GFZ10" s="731"/>
      <c r="GGD10" s="731"/>
      <c r="GGH10" s="731"/>
      <c r="GGL10" s="731"/>
      <c r="GGP10" s="731"/>
      <c r="GGT10" s="731"/>
      <c r="GGX10" s="731"/>
      <c r="GHB10" s="731"/>
      <c r="GHF10" s="731"/>
      <c r="GHJ10" s="731"/>
      <c r="GHN10" s="731"/>
      <c r="GHR10" s="731"/>
      <c r="GHV10" s="731"/>
      <c r="GHZ10" s="731"/>
      <c r="GID10" s="731"/>
      <c r="GIH10" s="731"/>
      <c r="GIL10" s="731"/>
      <c r="GIP10" s="731"/>
      <c r="GIT10" s="731"/>
      <c r="GIX10" s="731"/>
      <c r="GJB10" s="731"/>
      <c r="GJF10" s="731"/>
      <c r="GJJ10" s="731"/>
      <c r="GJN10" s="731"/>
      <c r="GJR10" s="731"/>
      <c r="GJV10" s="731"/>
      <c r="GJZ10" s="731"/>
      <c r="GKD10" s="731"/>
      <c r="GKH10" s="731"/>
      <c r="GKL10" s="731"/>
      <c r="GKP10" s="731"/>
      <c r="GKT10" s="731"/>
      <c r="GKX10" s="731"/>
      <c r="GLB10" s="731"/>
      <c r="GLF10" s="731"/>
      <c r="GLJ10" s="731"/>
      <c r="GLN10" s="731"/>
      <c r="GLR10" s="731"/>
      <c r="GLV10" s="731"/>
      <c r="GLZ10" s="731"/>
      <c r="GMD10" s="731"/>
      <c r="GMH10" s="731"/>
      <c r="GML10" s="731"/>
      <c r="GMP10" s="731"/>
      <c r="GMT10" s="731"/>
      <c r="GMX10" s="731"/>
      <c r="GNB10" s="731"/>
      <c r="GNF10" s="731"/>
      <c r="GNJ10" s="731"/>
      <c r="GNN10" s="731"/>
      <c r="GNR10" s="731"/>
      <c r="GNV10" s="731"/>
      <c r="GNZ10" s="731"/>
      <c r="GOD10" s="731"/>
      <c r="GOH10" s="731"/>
      <c r="GOL10" s="731"/>
      <c r="GOP10" s="731"/>
      <c r="GOT10" s="731"/>
      <c r="GOX10" s="731"/>
      <c r="GPB10" s="731"/>
      <c r="GPF10" s="731"/>
      <c r="GPJ10" s="731"/>
      <c r="GPN10" s="731"/>
      <c r="GPR10" s="731"/>
      <c r="GPV10" s="731"/>
      <c r="GPZ10" s="731"/>
      <c r="GQD10" s="731"/>
      <c r="GQH10" s="731"/>
      <c r="GQL10" s="731"/>
      <c r="GQP10" s="731"/>
      <c r="GQT10" s="731"/>
      <c r="GQX10" s="731"/>
      <c r="GRB10" s="731"/>
      <c r="GRF10" s="731"/>
      <c r="GRJ10" s="731"/>
      <c r="GRN10" s="731"/>
      <c r="GRR10" s="731"/>
      <c r="GRV10" s="731"/>
      <c r="GRZ10" s="731"/>
      <c r="GSD10" s="731"/>
      <c r="GSH10" s="731"/>
      <c r="GSL10" s="731"/>
      <c r="GSP10" s="731"/>
      <c r="GST10" s="731"/>
      <c r="GSX10" s="731"/>
      <c r="GTB10" s="731"/>
      <c r="GTF10" s="731"/>
      <c r="GTJ10" s="731"/>
      <c r="GTN10" s="731"/>
      <c r="GTR10" s="731"/>
      <c r="GTV10" s="731"/>
      <c r="GTZ10" s="731"/>
      <c r="GUD10" s="731"/>
      <c r="GUH10" s="731"/>
      <c r="GUL10" s="731"/>
      <c r="GUP10" s="731"/>
      <c r="GUT10" s="731"/>
      <c r="GUX10" s="731"/>
      <c r="GVB10" s="731"/>
      <c r="GVF10" s="731"/>
      <c r="GVJ10" s="731"/>
      <c r="GVN10" s="731"/>
      <c r="GVR10" s="731"/>
      <c r="GVV10" s="731"/>
      <c r="GVZ10" s="731"/>
      <c r="GWD10" s="731"/>
      <c r="GWH10" s="731"/>
      <c r="GWL10" s="731"/>
      <c r="GWP10" s="731"/>
      <c r="GWT10" s="731"/>
      <c r="GWX10" s="731"/>
      <c r="GXB10" s="731"/>
      <c r="GXF10" s="731"/>
      <c r="GXJ10" s="731"/>
      <c r="GXN10" s="731"/>
      <c r="GXR10" s="731"/>
      <c r="GXV10" s="731"/>
      <c r="GXZ10" s="731"/>
      <c r="GYD10" s="731"/>
      <c r="GYH10" s="731"/>
      <c r="GYL10" s="731"/>
      <c r="GYP10" s="731"/>
      <c r="GYT10" s="731"/>
      <c r="GYX10" s="731"/>
      <c r="GZB10" s="731"/>
      <c r="GZF10" s="731"/>
      <c r="GZJ10" s="731"/>
      <c r="GZN10" s="731"/>
      <c r="GZR10" s="731"/>
      <c r="GZV10" s="731"/>
      <c r="GZZ10" s="731"/>
      <c r="HAD10" s="731"/>
      <c r="HAH10" s="731"/>
      <c r="HAL10" s="731"/>
      <c r="HAP10" s="731"/>
      <c r="HAT10" s="731"/>
      <c r="HAX10" s="731"/>
      <c r="HBB10" s="731"/>
      <c r="HBF10" s="731"/>
      <c r="HBJ10" s="731"/>
      <c r="HBN10" s="731"/>
      <c r="HBR10" s="731"/>
      <c r="HBV10" s="731"/>
      <c r="HBZ10" s="731"/>
      <c r="HCD10" s="731"/>
      <c r="HCH10" s="731"/>
      <c r="HCL10" s="731"/>
      <c r="HCP10" s="731"/>
      <c r="HCT10" s="731"/>
      <c r="HCX10" s="731"/>
      <c r="HDB10" s="731"/>
      <c r="HDF10" s="731"/>
      <c r="HDJ10" s="731"/>
      <c r="HDN10" s="731"/>
      <c r="HDR10" s="731"/>
      <c r="HDV10" s="731"/>
      <c r="HDZ10" s="731"/>
      <c r="HED10" s="731"/>
      <c r="HEH10" s="731"/>
      <c r="HEL10" s="731"/>
      <c r="HEP10" s="731"/>
      <c r="HET10" s="731"/>
      <c r="HEX10" s="731"/>
      <c r="HFB10" s="731"/>
      <c r="HFF10" s="731"/>
      <c r="HFJ10" s="731"/>
      <c r="HFN10" s="731"/>
      <c r="HFR10" s="731"/>
      <c r="HFV10" s="731"/>
      <c r="HFZ10" s="731"/>
      <c r="HGD10" s="731"/>
      <c r="HGH10" s="731"/>
      <c r="HGL10" s="731"/>
      <c r="HGP10" s="731"/>
      <c r="HGT10" s="731"/>
      <c r="HGX10" s="731"/>
      <c r="HHB10" s="731"/>
      <c r="HHF10" s="731"/>
      <c r="HHJ10" s="731"/>
      <c r="HHN10" s="731"/>
      <c r="HHR10" s="731"/>
      <c r="HHV10" s="731"/>
      <c r="HHZ10" s="731"/>
      <c r="HID10" s="731"/>
      <c r="HIH10" s="731"/>
      <c r="HIL10" s="731"/>
      <c r="HIP10" s="731"/>
      <c r="HIT10" s="731"/>
      <c r="HIX10" s="731"/>
      <c r="HJB10" s="731"/>
      <c r="HJF10" s="731"/>
      <c r="HJJ10" s="731"/>
      <c r="HJN10" s="731"/>
      <c r="HJR10" s="731"/>
      <c r="HJV10" s="731"/>
      <c r="HJZ10" s="731"/>
      <c r="HKD10" s="731"/>
      <c r="HKH10" s="731"/>
      <c r="HKL10" s="731"/>
      <c r="HKP10" s="731"/>
      <c r="HKT10" s="731"/>
      <c r="HKX10" s="731"/>
      <c r="HLB10" s="731"/>
      <c r="HLF10" s="731"/>
      <c r="HLJ10" s="731"/>
      <c r="HLN10" s="731"/>
      <c r="HLR10" s="731"/>
      <c r="HLV10" s="731"/>
      <c r="HLZ10" s="731"/>
      <c r="HMD10" s="731"/>
      <c r="HMH10" s="731"/>
      <c r="HML10" s="731"/>
      <c r="HMP10" s="731"/>
      <c r="HMT10" s="731"/>
      <c r="HMX10" s="731"/>
      <c r="HNB10" s="731"/>
      <c r="HNF10" s="731"/>
      <c r="HNJ10" s="731"/>
      <c r="HNN10" s="731"/>
      <c r="HNR10" s="731"/>
      <c r="HNV10" s="731"/>
      <c r="HNZ10" s="731"/>
      <c r="HOD10" s="731"/>
      <c r="HOH10" s="731"/>
      <c r="HOL10" s="731"/>
      <c r="HOP10" s="731"/>
      <c r="HOT10" s="731"/>
      <c r="HOX10" s="731"/>
      <c r="HPB10" s="731"/>
      <c r="HPF10" s="731"/>
      <c r="HPJ10" s="731"/>
      <c r="HPN10" s="731"/>
      <c r="HPR10" s="731"/>
      <c r="HPV10" s="731"/>
      <c r="HPZ10" s="731"/>
      <c r="HQD10" s="731"/>
      <c r="HQH10" s="731"/>
      <c r="HQL10" s="731"/>
      <c r="HQP10" s="731"/>
      <c r="HQT10" s="731"/>
      <c r="HQX10" s="731"/>
      <c r="HRB10" s="731"/>
      <c r="HRF10" s="731"/>
      <c r="HRJ10" s="731"/>
      <c r="HRN10" s="731"/>
      <c r="HRR10" s="731"/>
      <c r="HRV10" s="731"/>
      <c r="HRZ10" s="731"/>
      <c r="HSD10" s="731"/>
      <c r="HSH10" s="731"/>
      <c r="HSL10" s="731"/>
      <c r="HSP10" s="731"/>
      <c r="HST10" s="731"/>
      <c r="HSX10" s="731"/>
      <c r="HTB10" s="731"/>
      <c r="HTF10" s="731"/>
      <c r="HTJ10" s="731"/>
      <c r="HTN10" s="731"/>
      <c r="HTR10" s="731"/>
      <c r="HTV10" s="731"/>
      <c r="HTZ10" s="731"/>
      <c r="HUD10" s="731"/>
      <c r="HUH10" s="731"/>
      <c r="HUL10" s="731"/>
      <c r="HUP10" s="731"/>
      <c r="HUT10" s="731"/>
      <c r="HUX10" s="731"/>
      <c r="HVB10" s="731"/>
      <c r="HVF10" s="731"/>
      <c r="HVJ10" s="731"/>
      <c r="HVN10" s="731"/>
      <c r="HVR10" s="731"/>
      <c r="HVV10" s="731"/>
      <c r="HVZ10" s="731"/>
      <c r="HWD10" s="731"/>
      <c r="HWH10" s="731"/>
      <c r="HWL10" s="731"/>
      <c r="HWP10" s="731"/>
      <c r="HWT10" s="731"/>
      <c r="HWX10" s="731"/>
      <c r="HXB10" s="731"/>
      <c r="HXF10" s="731"/>
      <c r="HXJ10" s="731"/>
      <c r="HXN10" s="731"/>
      <c r="HXR10" s="731"/>
      <c r="HXV10" s="731"/>
      <c r="HXZ10" s="731"/>
      <c r="HYD10" s="731"/>
      <c r="HYH10" s="731"/>
      <c r="HYL10" s="731"/>
      <c r="HYP10" s="731"/>
      <c r="HYT10" s="731"/>
      <c r="HYX10" s="731"/>
      <c r="HZB10" s="731"/>
      <c r="HZF10" s="731"/>
      <c r="HZJ10" s="731"/>
      <c r="HZN10" s="731"/>
      <c r="HZR10" s="731"/>
      <c r="HZV10" s="731"/>
      <c r="HZZ10" s="731"/>
      <c r="IAD10" s="731"/>
      <c r="IAH10" s="731"/>
      <c r="IAL10" s="731"/>
      <c r="IAP10" s="731"/>
      <c r="IAT10" s="731"/>
      <c r="IAX10" s="731"/>
      <c r="IBB10" s="731"/>
      <c r="IBF10" s="731"/>
      <c r="IBJ10" s="731"/>
      <c r="IBN10" s="731"/>
      <c r="IBR10" s="731"/>
      <c r="IBV10" s="731"/>
      <c r="IBZ10" s="731"/>
      <c r="ICD10" s="731"/>
      <c r="ICH10" s="731"/>
      <c r="ICL10" s="731"/>
      <c r="ICP10" s="731"/>
      <c r="ICT10" s="731"/>
      <c r="ICX10" s="731"/>
      <c r="IDB10" s="731"/>
      <c r="IDF10" s="731"/>
      <c r="IDJ10" s="731"/>
      <c r="IDN10" s="731"/>
      <c r="IDR10" s="731"/>
      <c r="IDV10" s="731"/>
      <c r="IDZ10" s="731"/>
      <c r="IED10" s="731"/>
      <c r="IEH10" s="731"/>
      <c r="IEL10" s="731"/>
      <c r="IEP10" s="731"/>
      <c r="IET10" s="731"/>
      <c r="IEX10" s="731"/>
      <c r="IFB10" s="731"/>
      <c r="IFF10" s="731"/>
      <c r="IFJ10" s="731"/>
      <c r="IFN10" s="731"/>
      <c r="IFR10" s="731"/>
      <c r="IFV10" s="731"/>
      <c r="IFZ10" s="731"/>
      <c r="IGD10" s="731"/>
      <c r="IGH10" s="731"/>
      <c r="IGL10" s="731"/>
      <c r="IGP10" s="731"/>
      <c r="IGT10" s="731"/>
      <c r="IGX10" s="731"/>
      <c r="IHB10" s="731"/>
      <c r="IHF10" s="731"/>
      <c r="IHJ10" s="731"/>
      <c r="IHN10" s="731"/>
      <c r="IHR10" s="731"/>
      <c r="IHV10" s="731"/>
      <c r="IHZ10" s="731"/>
      <c r="IID10" s="731"/>
      <c r="IIH10" s="731"/>
      <c r="IIL10" s="731"/>
      <c r="IIP10" s="731"/>
      <c r="IIT10" s="731"/>
      <c r="IIX10" s="731"/>
      <c r="IJB10" s="731"/>
      <c r="IJF10" s="731"/>
      <c r="IJJ10" s="731"/>
      <c r="IJN10" s="731"/>
      <c r="IJR10" s="731"/>
      <c r="IJV10" s="731"/>
      <c r="IJZ10" s="731"/>
      <c r="IKD10" s="731"/>
      <c r="IKH10" s="731"/>
      <c r="IKL10" s="731"/>
      <c r="IKP10" s="731"/>
      <c r="IKT10" s="731"/>
      <c r="IKX10" s="731"/>
      <c r="ILB10" s="731"/>
      <c r="ILF10" s="731"/>
      <c r="ILJ10" s="731"/>
      <c r="ILN10" s="731"/>
      <c r="ILR10" s="731"/>
      <c r="ILV10" s="731"/>
      <c r="ILZ10" s="731"/>
      <c r="IMD10" s="731"/>
      <c r="IMH10" s="731"/>
      <c r="IML10" s="731"/>
      <c r="IMP10" s="731"/>
      <c r="IMT10" s="731"/>
      <c r="IMX10" s="731"/>
      <c r="INB10" s="731"/>
      <c r="INF10" s="731"/>
      <c r="INJ10" s="731"/>
      <c r="INN10" s="731"/>
      <c r="INR10" s="731"/>
      <c r="INV10" s="731"/>
      <c r="INZ10" s="731"/>
      <c r="IOD10" s="731"/>
      <c r="IOH10" s="731"/>
      <c r="IOL10" s="731"/>
      <c r="IOP10" s="731"/>
      <c r="IOT10" s="731"/>
      <c r="IOX10" s="731"/>
      <c r="IPB10" s="731"/>
      <c r="IPF10" s="731"/>
      <c r="IPJ10" s="731"/>
      <c r="IPN10" s="731"/>
      <c r="IPR10" s="731"/>
      <c r="IPV10" s="731"/>
      <c r="IPZ10" s="731"/>
      <c r="IQD10" s="731"/>
      <c r="IQH10" s="731"/>
      <c r="IQL10" s="731"/>
      <c r="IQP10" s="731"/>
      <c r="IQT10" s="731"/>
      <c r="IQX10" s="731"/>
      <c r="IRB10" s="731"/>
      <c r="IRF10" s="731"/>
      <c r="IRJ10" s="731"/>
      <c r="IRN10" s="731"/>
      <c r="IRR10" s="731"/>
      <c r="IRV10" s="731"/>
      <c r="IRZ10" s="731"/>
      <c r="ISD10" s="731"/>
      <c r="ISH10" s="731"/>
      <c r="ISL10" s="731"/>
      <c r="ISP10" s="731"/>
      <c r="IST10" s="731"/>
      <c r="ISX10" s="731"/>
      <c r="ITB10" s="731"/>
      <c r="ITF10" s="731"/>
      <c r="ITJ10" s="731"/>
      <c r="ITN10" s="731"/>
      <c r="ITR10" s="731"/>
      <c r="ITV10" s="731"/>
      <c r="ITZ10" s="731"/>
      <c r="IUD10" s="731"/>
      <c r="IUH10" s="731"/>
      <c r="IUL10" s="731"/>
      <c r="IUP10" s="731"/>
      <c r="IUT10" s="731"/>
      <c r="IUX10" s="731"/>
      <c r="IVB10" s="731"/>
      <c r="IVF10" s="731"/>
      <c r="IVJ10" s="731"/>
      <c r="IVN10" s="731"/>
      <c r="IVR10" s="731"/>
      <c r="IVV10" s="731"/>
      <c r="IVZ10" s="731"/>
      <c r="IWD10" s="731"/>
      <c r="IWH10" s="731"/>
      <c r="IWL10" s="731"/>
      <c r="IWP10" s="731"/>
      <c r="IWT10" s="731"/>
      <c r="IWX10" s="731"/>
      <c r="IXB10" s="731"/>
      <c r="IXF10" s="731"/>
      <c r="IXJ10" s="731"/>
      <c r="IXN10" s="731"/>
      <c r="IXR10" s="731"/>
      <c r="IXV10" s="731"/>
      <c r="IXZ10" s="731"/>
      <c r="IYD10" s="731"/>
      <c r="IYH10" s="731"/>
      <c r="IYL10" s="731"/>
      <c r="IYP10" s="731"/>
      <c r="IYT10" s="731"/>
      <c r="IYX10" s="731"/>
      <c r="IZB10" s="731"/>
      <c r="IZF10" s="731"/>
      <c r="IZJ10" s="731"/>
      <c r="IZN10" s="731"/>
      <c r="IZR10" s="731"/>
      <c r="IZV10" s="731"/>
      <c r="IZZ10" s="731"/>
      <c r="JAD10" s="731"/>
      <c r="JAH10" s="731"/>
      <c r="JAL10" s="731"/>
      <c r="JAP10" s="731"/>
      <c r="JAT10" s="731"/>
      <c r="JAX10" s="731"/>
      <c r="JBB10" s="731"/>
      <c r="JBF10" s="731"/>
      <c r="JBJ10" s="731"/>
      <c r="JBN10" s="731"/>
      <c r="JBR10" s="731"/>
      <c r="JBV10" s="731"/>
      <c r="JBZ10" s="731"/>
      <c r="JCD10" s="731"/>
      <c r="JCH10" s="731"/>
      <c r="JCL10" s="731"/>
      <c r="JCP10" s="731"/>
      <c r="JCT10" s="731"/>
      <c r="JCX10" s="731"/>
      <c r="JDB10" s="731"/>
      <c r="JDF10" s="731"/>
      <c r="JDJ10" s="731"/>
      <c r="JDN10" s="731"/>
      <c r="JDR10" s="731"/>
      <c r="JDV10" s="731"/>
      <c r="JDZ10" s="731"/>
      <c r="JED10" s="731"/>
      <c r="JEH10" s="731"/>
      <c r="JEL10" s="731"/>
      <c r="JEP10" s="731"/>
      <c r="JET10" s="731"/>
      <c r="JEX10" s="731"/>
      <c r="JFB10" s="731"/>
      <c r="JFF10" s="731"/>
      <c r="JFJ10" s="731"/>
      <c r="JFN10" s="731"/>
      <c r="JFR10" s="731"/>
      <c r="JFV10" s="731"/>
      <c r="JFZ10" s="731"/>
      <c r="JGD10" s="731"/>
      <c r="JGH10" s="731"/>
      <c r="JGL10" s="731"/>
      <c r="JGP10" s="731"/>
      <c r="JGT10" s="731"/>
      <c r="JGX10" s="731"/>
      <c r="JHB10" s="731"/>
      <c r="JHF10" s="731"/>
      <c r="JHJ10" s="731"/>
      <c r="JHN10" s="731"/>
      <c r="JHR10" s="731"/>
      <c r="JHV10" s="731"/>
      <c r="JHZ10" s="731"/>
      <c r="JID10" s="731"/>
      <c r="JIH10" s="731"/>
      <c r="JIL10" s="731"/>
      <c r="JIP10" s="731"/>
      <c r="JIT10" s="731"/>
      <c r="JIX10" s="731"/>
      <c r="JJB10" s="731"/>
      <c r="JJF10" s="731"/>
      <c r="JJJ10" s="731"/>
      <c r="JJN10" s="731"/>
      <c r="JJR10" s="731"/>
      <c r="JJV10" s="731"/>
      <c r="JJZ10" s="731"/>
      <c r="JKD10" s="731"/>
      <c r="JKH10" s="731"/>
      <c r="JKL10" s="731"/>
      <c r="JKP10" s="731"/>
      <c r="JKT10" s="731"/>
      <c r="JKX10" s="731"/>
      <c r="JLB10" s="731"/>
      <c r="JLF10" s="731"/>
      <c r="JLJ10" s="731"/>
      <c r="JLN10" s="731"/>
      <c r="JLR10" s="731"/>
      <c r="JLV10" s="731"/>
      <c r="JLZ10" s="731"/>
      <c r="JMD10" s="731"/>
      <c r="JMH10" s="731"/>
      <c r="JML10" s="731"/>
      <c r="JMP10" s="731"/>
      <c r="JMT10" s="731"/>
      <c r="JMX10" s="731"/>
      <c r="JNB10" s="731"/>
      <c r="JNF10" s="731"/>
      <c r="JNJ10" s="731"/>
      <c r="JNN10" s="731"/>
      <c r="JNR10" s="731"/>
      <c r="JNV10" s="731"/>
      <c r="JNZ10" s="731"/>
      <c r="JOD10" s="731"/>
      <c r="JOH10" s="731"/>
      <c r="JOL10" s="731"/>
      <c r="JOP10" s="731"/>
      <c r="JOT10" s="731"/>
      <c r="JOX10" s="731"/>
      <c r="JPB10" s="731"/>
      <c r="JPF10" s="731"/>
      <c r="JPJ10" s="731"/>
      <c r="JPN10" s="731"/>
      <c r="JPR10" s="731"/>
      <c r="JPV10" s="731"/>
      <c r="JPZ10" s="731"/>
      <c r="JQD10" s="731"/>
      <c r="JQH10" s="731"/>
      <c r="JQL10" s="731"/>
      <c r="JQP10" s="731"/>
      <c r="JQT10" s="731"/>
      <c r="JQX10" s="731"/>
      <c r="JRB10" s="731"/>
      <c r="JRF10" s="731"/>
      <c r="JRJ10" s="731"/>
      <c r="JRN10" s="731"/>
      <c r="JRR10" s="731"/>
      <c r="JRV10" s="731"/>
      <c r="JRZ10" s="731"/>
      <c r="JSD10" s="731"/>
      <c r="JSH10" s="731"/>
      <c r="JSL10" s="731"/>
      <c r="JSP10" s="731"/>
      <c r="JST10" s="731"/>
      <c r="JSX10" s="731"/>
      <c r="JTB10" s="731"/>
      <c r="JTF10" s="731"/>
      <c r="JTJ10" s="731"/>
      <c r="JTN10" s="731"/>
      <c r="JTR10" s="731"/>
      <c r="JTV10" s="731"/>
      <c r="JTZ10" s="731"/>
      <c r="JUD10" s="731"/>
      <c r="JUH10" s="731"/>
      <c r="JUL10" s="731"/>
      <c r="JUP10" s="731"/>
      <c r="JUT10" s="731"/>
      <c r="JUX10" s="731"/>
      <c r="JVB10" s="731"/>
      <c r="JVF10" s="731"/>
      <c r="JVJ10" s="731"/>
      <c r="JVN10" s="731"/>
      <c r="JVR10" s="731"/>
      <c r="JVV10" s="731"/>
      <c r="JVZ10" s="731"/>
      <c r="JWD10" s="731"/>
      <c r="JWH10" s="731"/>
      <c r="JWL10" s="731"/>
      <c r="JWP10" s="731"/>
      <c r="JWT10" s="731"/>
      <c r="JWX10" s="731"/>
      <c r="JXB10" s="731"/>
      <c r="JXF10" s="731"/>
      <c r="JXJ10" s="731"/>
      <c r="JXN10" s="731"/>
      <c r="JXR10" s="731"/>
      <c r="JXV10" s="731"/>
      <c r="JXZ10" s="731"/>
      <c r="JYD10" s="731"/>
      <c r="JYH10" s="731"/>
      <c r="JYL10" s="731"/>
      <c r="JYP10" s="731"/>
      <c r="JYT10" s="731"/>
      <c r="JYX10" s="731"/>
      <c r="JZB10" s="731"/>
      <c r="JZF10" s="731"/>
      <c r="JZJ10" s="731"/>
      <c r="JZN10" s="731"/>
      <c r="JZR10" s="731"/>
      <c r="JZV10" s="731"/>
      <c r="JZZ10" s="731"/>
      <c r="KAD10" s="731"/>
      <c r="KAH10" s="731"/>
      <c r="KAL10" s="731"/>
      <c r="KAP10" s="731"/>
      <c r="KAT10" s="731"/>
      <c r="KAX10" s="731"/>
      <c r="KBB10" s="731"/>
      <c r="KBF10" s="731"/>
      <c r="KBJ10" s="731"/>
      <c r="KBN10" s="731"/>
      <c r="KBR10" s="731"/>
      <c r="KBV10" s="731"/>
      <c r="KBZ10" s="731"/>
      <c r="KCD10" s="731"/>
      <c r="KCH10" s="731"/>
      <c r="KCL10" s="731"/>
      <c r="KCP10" s="731"/>
      <c r="KCT10" s="731"/>
      <c r="KCX10" s="731"/>
      <c r="KDB10" s="731"/>
      <c r="KDF10" s="731"/>
      <c r="KDJ10" s="731"/>
      <c r="KDN10" s="731"/>
      <c r="KDR10" s="731"/>
      <c r="KDV10" s="731"/>
      <c r="KDZ10" s="731"/>
      <c r="KED10" s="731"/>
      <c r="KEH10" s="731"/>
      <c r="KEL10" s="731"/>
      <c r="KEP10" s="731"/>
      <c r="KET10" s="731"/>
      <c r="KEX10" s="731"/>
      <c r="KFB10" s="731"/>
      <c r="KFF10" s="731"/>
      <c r="KFJ10" s="731"/>
      <c r="KFN10" s="731"/>
      <c r="KFR10" s="731"/>
      <c r="KFV10" s="731"/>
      <c r="KFZ10" s="731"/>
      <c r="KGD10" s="731"/>
      <c r="KGH10" s="731"/>
      <c r="KGL10" s="731"/>
      <c r="KGP10" s="731"/>
      <c r="KGT10" s="731"/>
      <c r="KGX10" s="731"/>
      <c r="KHB10" s="731"/>
      <c r="KHF10" s="731"/>
      <c r="KHJ10" s="731"/>
      <c r="KHN10" s="731"/>
      <c r="KHR10" s="731"/>
      <c r="KHV10" s="731"/>
      <c r="KHZ10" s="731"/>
      <c r="KID10" s="731"/>
      <c r="KIH10" s="731"/>
      <c r="KIL10" s="731"/>
      <c r="KIP10" s="731"/>
      <c r="KIT10" s="731"/>
      <c r="KIX10" s="731"/>
      <c r="KJB10" s="731"/>
      <c r="KJF10" s="731"/>
      <c r="KJJ10" s="731"/>
      <c r="KJN10" s="731"/>
      <c r="KJR10" s="731"/>
      <c r="KJV10" s="731"/>
      <c r="KJZ10" s="731"/>
      <c r="KKD10" s="731"/>
      <c r="KKH10" s="731"/>
      <c r="KKL10" s="731"/>
      <c r="KKP10" s="731"/>
      <c r="KKT10" s="731"/>
      <c r="KKX10" s="731"/>
      <c r="KLB10" s="731"/>
      <c r="KLF10" s="731"/>
      <c r="KLJ10" s="731"/>
      <c r="KLN10" s="731"/>
      <c r="KLR10" s="731"/>
      <c r="KLV10" s="731"/>
      <c r="KLZ10" s="731"/>
      <c r="KMD10" s="731"/>
      <c r="KMH10" s="731"/>
      <c r="KML10" s="731"/>
      <c r="KMP10" s="731"/>
      <c r="KMT10" s="731"/>
      <c r="KMX10" s="731"/>
      <c r="KNB10" s="731"/>
      <c r="KNF10" s="731"/>
      <c r="KNJ10" s="731"/>
      <c r="KNN10" s="731"/>
      <c r="KNR10" s="731"/>
      <c r="KNV10" s="731"/>
      <c r="KNZ10" s="731"/>
      <c r="KOD10" s="731"/>
      <c r="KOH10" s="731"/>
      <c r="KOL10" s="731"/>
      <c r="KOP10" s="731"/>
      <c r="KOT10" s="731"/>
      <c r="KOX10" s="731"/>
      <c r="KPB10" s="731"/>
      <c r="KPF10" s="731"/>
      <c r="KPJ10" s="731"/>
      <c r="KPN10" s="731"/>
      <c r="KPR10" s="731"/>
      <c r="KPV10" s="731"/>
      <c r="KPZ10" s="731"/>
      <c r="KQD10" s="731"/>
      <c r="KQH10" s="731"/>
      <c r="KQL10" s="731"/>
      <c r="KQP10" s="731"/>
      <c r="KQT10" s="731"/>
      <c r="KQX10" s="731"/>
      <c r="KRB10" s="731"/>
      <c r="KRF10" s="731"/>
      <c r="KRJ10" s="731"/>
      <c r="KRN10" s="731"/>
      <c r="KRR10" s="731"/>
      <c r="KRV10" s="731"/>
      <c r="KRZ10" s="731"/>
      <c r="KSD10" s="731"/>
      <c r="KSH10" s="731"/>
      <c r="KSL10" s="731"/>
      <c r="KSP10" s="731"/>
      <c r="KST10" s="731"/>
      <c r="KSX10" s="731"/>
      <c r="KTB10" s="731"/>
      <c r="KTF10" s="731"/>
      <c r="KTJ10" s="731"/>
      <c r="KTN10" s="731"/>
      <c r="KTR10" s="731"/>
      <c r="KTV10" s="731"/>
      <c r="KTZ10" s="731"/>
      <c r="KUD10" s="731"/>
      <c r="KUH10" s="731"/>
      <c r="KUL10" s="731"/>
      <c r="KUP10" s="731"/>
      <c r="KUT10" s="731"/>
      <c r="KUX10" s="731"/>
      <c r="KVB10" s="731"/>
      <c r="KVF10" s="731"/>
      <c r="KVJ10" s="731"/>
      <c r="KVN10" s="731"/>
      <c r="KVR10" s="731"/>
      <c r="KVV10" s="731"/>
      <c r="KVZ10" s="731"/>
      <c r="KWD10" s="731"/>
      <c r="KWH10" s="731"/>
      <c r="KWL10" s="731"/>
      <c r="KWP10" s="731"/>
      <c r="KWT10" s="731"/>
      <c r="KWX10" s="731"/>
      <c r="KXB10" s="731"/>
      <c r="KXF10" s="731"/>
      <c r="KXJ10" s="731"/>
      <c r="KXN10" s="731"/>
      <c r="KXR10" s="731"/>
      <c r="KXV10" s="731"/>
      <c r="KXZ10" s="731"/>
      <c r="KYD10" s="731"/>
      <c r="KYH10" s="731"/>
      <c r="KYL10" s="731"/>
      <c r="KYP10" s="731"/>
      <c r="KYT10" s="731"/>
      <c r="KYX10" s="731"/>
      <c r="KZB10" s="731"/>
      <c r="KZF10" s="731"/>
      <c r="KZJ10" s="731"/>
      <c r="KZN10" s="731"/>
      <c r="KZR10" s="731"/>
      <c r="KZV10" s="731"/>
      <c r="KZZ10" s="731"/>
      <c r="LAD10" s="731"/>
      <c r="LAH10" s="731"/>
      <c r="LAL10" s="731"/>
      <c r="LAP10" s="731"/>
      <c r="LAT10" s="731"/>
      <c r="LAX10" s="731"/>
      <c r="LBB10" s="731"/>
      <c r="LBF10" s="731"/>
      <c r="LBJ10" s="731"/>
      <c r="LBN10" s="731"/>
      <c r="LBR10" s="731"/>
      <c r="LBV10" s="731"/>
      <c r="LBZ10" s="731"/>
      <c r="LCD10" s="731"/>
      <c r="LCH10" s="731"/>
      <c r="LCL10" s="731"/>
      <c r="LCP10" s="731"/>
      <c r="LCT10" s="731"/>
      <c r="LCX10" s="731"/>
      <c r="LDB10" s="731"/>
      <c r="LDF10" s="731"/>
      <c r="LDJ10" s="731"/>
      <c r="LDN10" s="731"/>
      <c r="LDR10" s="731"/>
      <c r="LDV10" s="731"/>
      <c r="LDZ10" s="731"/>
      <c r="LED10" s="731"/>
      <c r="LEH10" s="731"/>
      <c r="LEL10" s="731"/>
      <c r="LEP10" s="731"/>
      <c r="LET10" s="731"/>
      <c r="LEX10" s="731"/>
      <c r="LFB10" s="731"/>
      <c r="LFF10" s="731"/>
      <c r="LFJ10" s="731"/>
      <c r="LFN10" s="731"/>
      <c r="LFR10" s="731"/>
      <c r="LFV10" s="731"/>
      <c r="LFZ10" s="731"/>
      <c r="LGD10" s="731"/>
      <c r="LGH10" s="731"/>
      <c r="LGL10" s="731"/>
      <c r="LGP10" s="731"/>
      <c r="LGT10" s="731"/>
      <c r="LGX10" s="731"/>
      <c r="LHB10" s="731"/>
      <c r="LHF10" s="731"/>
      <c r="LHJ10" s="731"/>
      <c r="LHN10" s="731"/>
      <c r="LHR10" s="731"/>
      <c r="LHV10" s="731"/>
      <c r="LHZ10" s="731"/>
      <c r="LID10" s="731"/>
      <c r="LIH10" s="731"/>
      <c r="LIL10" s="731"/>
      <c r="LIP10" s="731"/>
      <c r="LIT10" s="731"/>
      <c r="LIX10" s="731"/>
      <c r="LJB10" s="731"/>
      <c r="LJF10" s="731"/>
      <c r="LJJ10" s="731"/>
      <c r="LJN10" s="731"/>
      <c r="LJR10" s="731"/>
      <c r="LJV10" s="731"/>
      <c r="LJZ10" s="731"/>
      <c r="LKD10" s="731"/>
      <c r="LKH10" s="731"/>
      <c r="LKL10" s="731"/>
      <c r="LKP10" s="731"/>
      <c r="LKT10" s="731"/>
      <c r="LKX10" s="731"/>
      <c r="LLB10" s="731"/>
      <c r="LLF10" s="731"/>
      <c r="LLJ10" s="731"/>
      <c r="LLN10" s="731"/>
      <c r="LLR10" s="731"/>
      <c r="LLV10" s="731"/>
      <c r="LLZ10" s="731"/>
      <c r="LMD10" s="731"/>
      <c r="LMH10" s="731"/>
      <c r="LML10" s="731"/>
      <c r="LMP10" s="731"/>
      <c r="LMT10" s="731"/>
      <c r="LMX10" s="731"/>
      <c r="LNB10" s="731"/>
      <c r="LNF10" s="731"/>
      <c r="LNJ10" s="731"/>
      <c r="LNN10" s="731"/>
      <c r="LNR10" s="731"/>
      <c r="LNV10" s="731"/>
      <c r="LNZ10" s="731"/>
      <c r="LOD10" s="731"/>
      <c r="LOH10" s="731"/>
      <c r="LOL10" s="731"/>
      <c r="LOP10" s="731"/>
      <c r="LOT10" s="731"/>
      <c r="LOX10" s="731"/>
      <c r="LPB10" s="731"/>
      <c r="LPF10" s="731"/>
      <c r="LPJ10" s="731"/>
      <c r="LPN10" s="731"/>
      <c r="LPR10" s="731"/>
      <c r="LPV10" s="731"/>
      <c r="LPZ10" s="731"/>
      <c r="LQD10" s="731"/>
      <c r="LQH10" s="731"/>
      <c r="LQL10" s="731"/>
      <c r="LQP10" s="731"/>
      <c r="LQT10" s="731"/>
      <c r="LQX10" s="731"/>
      <c r="LRB10" s="731"/>
      <c r="LRF10" s="731"/>
      <c r="LRJ10" s="731"/>
      <c r="LRN10" s="731"/>
      <c r="LRR10" s="731"/>
      <c r="LRV10" s="731"/>
      <c r="LRZ10" s="731"/>
      <c r="LSD10" s="731"/>
      <c r="LSH10" s="731"/>
      <c r="LSL10" s="731"/>
      <c r="LSP10" s="731"/>
      <c r="LST10" s="731"/>
      <c r="LSX10" s="731"/>
      <c r="LTB10" s="731"/>
      <c r="LTF10" s="731"/>
      <c r="LTJ10" s="731"/>
      <c r="LTN10" s="731"/>
      <c r="LTR10" s="731"/>
      <c r="LTV10" s="731"/>
      <c r="LTZ10" s="731"/>
      <c r="LUD10" s="731"/>
      <c r="LUH10" s="731"/>
      <c r="LUL10" s="731"/>
      <c r="LUP10" s="731"/>
      <c r="LUT10" s="731"/>
      <c r="LUX10" s="731"/>
      <c r="LVB10" s="731"/>
      <c r="LVF10" s="731"/>
      <c r="LVJ10" s="731"/>
      <c r="LVN10" s="731"/>
      <c r="LVR10" s="731"/>
      <c r="LVV10" s="731"/>
      <c r="LVZ10" s="731"/>
      <c r="LWD10" s="731"/>
      <c r="LWH10" s="731"/>
      <c r="LWL10" s="731"/>
      <c r="LWP10" s="731"/>
      <c r="LWT10" s="731"/>
      <c r="LWX10" s="731"/>
      <c r="LXB10" s="731"/>
      <c r="LXF10" s="731"/>
      <c r="LXJ10" s="731"/>
      <c r="LXN10" s="731"/>
      <c r="LXR10" s="731"/>
      <c r="LXV10" s="731"/>
      <c r="LXZ10" s="731"/>
      <c r="LYD10" s="731"/>
      <c r="LYH10" s="731"/>
      <c r="LYL10" s="731"/>
      <c r="LYP10" s="731"/>
      <c r="LYT10" s="731"/>
      <c r="LYX10" s="731"/>
      <c r="LZB10" s="731"/>
      <c r="LZF10" s="731"/>
      <c r="LZJ10" s="731"/>
      <c r="LZN10" s="731"/>
      <c r="LZR10" s="731"/>
      <c r="LZV10" s="731"/>
      <c r="LZZ10" s="731"/>
      <c r="MAD10" s="731"/>
      <c r="MAH10" s="731"/>
      <c r="MAL10" s="731"/>
      <c r="MAP10" s="731"/>
      <c r="MAT10" s="731"/>
      <c r="MAX10" s="731"/>
      <c r="MBB10" s="731"/>
      <c r="MBF10" s="731"/>
      <c r="MBJ10" s="731"/>
      <c r="MBN10" s="731"/>
      <c r="MBR10" s="731"/>
      <c r="MBV10" s="731"/>
      <c r="MBZ10" s="731"/>
      <c r="MCD10" s="731"/>
      <c r="MCH10" s="731"/>
      <c r="MCL10" s="731"/>
      <c r="MCP10" s="731"/>
      <c r="MCT10" s="731"/>
      <c r="MCX10" s="731"/>
      <c r="MDB10" s="731"/>
      <c r="MDF10" s="731"/>
      <c r="MDJ10" s="731"/>
      <c r="MDN10" s="731"/>
      <c r="MDR10" s="731"/>
      <c r="MDV10" s="731"/>
      <c r="MDZ10" s="731"/>
      <c r="MED10" s="731"/>
      <c r="MEH10" s="731"/>
      <c r="MEL10" s="731"/>
      <c r="MEP10" s="731"/>
      <c r="MET10" s="731"/>
      <c r="MEX10" s="731"/>
      <c r="MFB10" s="731"/>
      <c r="MFF10" s="731"/>
      <c r="MFJ10" s="731"/>
      <c r="MFN10" s="731"/>
      <c r="MFR10" s="731"/>
      <c r="MFV10" s="731"/>
      <c r="MFZ10" s="731"/>
      <c r="MGD10" s="731"/>
      <c r="MGH10" s="731"/>
      <c r="MGL10" s="731"/>
      <c r="MGP10" s="731"/>
      <c r="MGT10" s="731"/>
      <c r="MGX10" s="731"/>
      <c r="MHB10" s="731"/>
      <c r="MHF10" s="731"/>
      <c r="MHJ10" s="731"/>
      <c r="MHN10" s="731"/>
      <c r="MHR10" s="731"/>
      <c r="MHV10" s="731"/>
      <c r="MHZ10" s="731"/>
      <c r="MID10" s="731"/>
      <c r="MIH10" s="731"/>
      <c r="MIL10" s="731"/>
      <c r="MIP10" s="731"/>
      <c r="MIT10" s="731"/>
      <c r="MIX10" s="731"/>
      <c r="MJB10" s="731"/>
      <c r="MJF10" s="731"/>
      <c r="MJJ10" s="731"/>
      <c r="MJN10" s="731"/>
      <c r="MJR10" s="731"/>
      <c r="MJV10" s="731"/>
      <c r="MJZ10" s="731"/>
      <c r="MKD10" s="731"/>
      <c r="MKH10" s="731"/>
      <c r="MKL10" s="731"/>
      <c r="MKP10" s="731"/>
      <c r="MKT10" s="731"/>
      <c r="MKX10" s="731"/>
      <c r="MLB10" s="731"/>
      <c r="MLF10" s="731"/>
      <c r="MLJ10" s="731"/>
      <c r="MLN10" s="731"/>
      <c r="MLR10" s="731"/>
      <c r="MLV10" s="731"/>
      <c r="MLZ10" s="731"/>
      <c r="MMD10" s="731"/>
      <c r="MMH10" s="731"/>
      <c r="MML10" s="731"/>
      <c r="MMP10" s="731"/>
      <c r="MMT10" s="731"/>
      <c r="MMX10" s="731"/>
      <c r="MNB10" s="731"/>
      <c r="MNF10" s="731"/>
      <c r="MNJ10" s="731"/>
      <c r="MNN10" s="731"/>
      <c r="MNR10" s="731"/>
      <c r="MNV10" s="731"/>
      <c r="MNZ10" s="731"/>
      <c r="MOD10" s="731"/>
      <c r="MOH10" s="731"/>
      <c r="MOL10" s="731"/>
      <c r="MOP10" s="731"/>
      <c r="MOT10" s="731"/>
      <c r="MOX10" s="731"/>
      <c r="MPB10" s="731"/>
      <c r="MPF10" s="731"/>
      <c r="MPJ10" s="731"/>
      <c r="MPN10" s="731"/>
      <c r="MPR10" s="731"/>
      <c r="MPV10" s="731"/>
      <c r="MPZ10" s="731"/>
      <c r="MQD10" s="731"/>
      <c r="MQH10" s="731"/>
      <c r="MQL10" s="731"/>
      <c r="MQP10" s="731"/>
      <c r="MQT10" s="731"/>
      <c r="MQX10" s="731"/>
      <c r="MRB10" s="731"/>
      <c r="MRF10" s="731"/>
      <c r="MRJ10" s="731"/>
      <c r="MRN10" s="731"/>
      <c r="MRR10" s="731"/>
      <c r="MRV10" s="731"/>
      <c r="MRZ10" s="731"/>
      <c r="MSD10" s="731"/>
      <c r="MSH10" s="731"/>
      <c r="MSL10" s="731"/>
      <c r="MSP10" s="731"/>
      <c r="MST10" s="731"/>
      <c r="MSX10" s="731"/>
      <c r="MTB10" s="731"/>
      <c r="MTF10" s="731"/>
      <c r="MTJ10" s="731"/>
      <c r="MTN10" s="731"/>
      <c r="MTR10" s="731"/>
      <c r="MTV10" s="731"/>
      <c r="MTZ10" s="731"/>
      <c r="MUD10" s="731"/>
      <c r="MUH10" s="731"/>
      <c r="MUL10" s="731"/>
      <c r="MUP10" s="731"/>
      <c r="MUT10" s="731"/>
      <c r="MUX10" s="731"/>
      <c r="MVB10" s="731"/>
      <c r="MVF10" s="731"/>
      <c r="MVJ10" s="731"/>
      <c r="MVN10" s="731"/>
      <c r="MVR10" s="731"/>
      <c r="MVV10" s="731"/>
      <c r="MVZ10" s="731"/>
      <c r="MWD10" s="731"/>
      <c r="MWH10" s="731"/>
      <c r="MWL10" s="731"/>
      <c r="MWP10" s="731"/>
      <c r="MWT10" s="731"/>
      <c r="MWX10" s="731"/>
      <c r="MXB10" s="731"/>
      <c r="MXF10" s="731"/>
      <c r="MXJ10" s="731"/>
      <c r="MXN10" s="731"/>
      <c r="MXR10" s="731"/>
      <c r="MXV10" s="731"/>
      <c r="MXZ10" s="731"/>
      <c r="MYD10" s="731"/>
      <c r="MYH10" s="731"/>
      <c r="MYL10" s="731"/>
      <c r="MYP10" s="731"/>
      <c r="MYT10" s="731"/>
      <c r="MYX10" s="731"/>
      <c r="MZB10" s="731"/>
      <c r="MZF10" s="731"/>
      <c r="MZJ10" s="731"/>
      <c r="MZN10" s="731"/>
      <c r="MZR10" s="731"/>
      <c r="MZV10" s="731"/>
      <c r="MZZ10" s="731"/>
      <c r="NAD10" s="731"/>
      <c r="NAH10" s="731"/>
      <c r="NAL10" s="731"/>
      <c r="NAP10" s="731"/>
      <c r="NAT10" s="731"/>
      <c r="NAX10" s="731"/>
      <c r="NBB10" s="731"/>
      <c r="NBF10" s="731"/>
      <c r="NBJ10" s="731"/>
      <c r="NBN10" s="731"/>
      <c r="NBR10" s="731"/>
      <c r="NBV10" s="731"/>
      <c r="NBZ10" s="731"/>
      <c r="NCD10" s="731"/>
      <c r="NCH10" s="731"/>
      <c r="NCL10" s="731"/>
      <c r="NCP10" s="731"/>
      <c r="NCT10" s="731"/>
      <c r="NCX10" s="731"/>
      <c r="NDB10" s="731"/>
      <c r="NDF10" s="731"/>
      <c r="NDJ10" s="731"/>
      <c r="NDN10" s="731"/>
      <c r="NDR10" s="731"/>
      <c r="NDV10" s="731"/>
      <c r="NDZ10" s="731"/>
      <c r="NED10" s="731"/>
      <c r="NEH10" s="731"/>
      <c r="NEL10" s="731"/>
      <c r="NEP10" s="731"/>
      <c r="NET10" s="731"/>
      <c r="NEX10" s="731"/>
      <c r="NFB10" s="731"/>
      <c r="NFF10" s="731"/>
      <c r="NFJ10" s="731"/>
      <c r="NFN10" s="731"/>
      <c r="NFR10" s="731"/>
      <c r="NFV10" s="731"/>
      <c r="NFZ10" s="731"/>
      <c r="NGD10" s="731"/>
      <c r="NGH10" s="731"/>
      <c r="NGL10" s="731"/>
      <c r="NGP10" s="731"/>
      <c r="NGT10" s="731"/>
      <c r="NGX10" s="731"/>
      <c r="NHB10" s="731"/>
      <c r="NHF10" s="731"/>
      <c r="NHJ10" s="731"/>
      <c r="NHN10" s="731"/>
      <c r="NHR10" s="731"/>
      <c r="NHV10" s="731"/>
      <c r="NHZ10" s="731"/>
      <c r="NID10" s="731"/>
      <c r="NIH10" s="731"/>
      <c r="NIL10" s="731"/>
      <c r="NIP10" s="731"/>
      <c r="NIT10" s="731"/>
      <c r="NIX10" s="731"/>
      <c r="NJB10" s="731"/>
      <c r="NJF10" s="731"/>
      <c r="NJJ10" s="731"/>
      <c r="NJN10" s="731"/>
      <c r="NJR10" s="731"/>
      <c r="NJV10" s="731"/>
      <c r="NJZ10" s="731"/>
      <c r="NKD10" s="731"/>
      <c r="NKH10" s="731"/>
      <c r="NKL10" s="731"/>
      <c r="NKP10" s="731"/>
      <c r="NKT10" s="731"/>
      <c r="NKX10" s="731"/>
      <c r="NLB10" s="731"/>
      <c r="NLF10" s="731"/>
      <c r="NLJ10" s="731"/>
      <c r="NLN10" s="731"/>
      <c r="NLR10" s="731"/>
      <c r="NLV10" s="731"/>
      <c r="NLZ10" s="731"/>
      <c r="NMD10" s="731"/>
      <c r="NMH10" s="731"/>
      <c r="NML10" s="731"/>
      <c r="NMP10" s="731"/>
      <c r="NMT10" s="731"/>
      <c r="NMX10" s="731"/>
      <c r="NNB10" s="731"/>
      <c r="NNF10" s="731"/>
      <c r="NNJ10" s="731"/>
      <c r="NNN10" s="731"/>
      <c r="NNR10" s="731"/>
      <c r="NNV10" s="731"/>
      <c r="NNZ10" s="731"/>
      <c r="NOD10" s="731"/>
      <c r="NOH10" s="731"/>
      <c r="NOL10" s="731"/>
      <c r="NOP10" s="731"/>
      <c r="NOT10" s="731"/>
      <c r="NOX10" s="731"/>
      <c r="NPB10" s="731"/>
      <c r="NPF10" s="731"/>
      <c r="NPJ10" s="731"/>
      <c r="NPN10" s="731"/>
      <c r="NPR10" s="731"/>
      <c r="NPV10" s="731"/>
      <c r="NPZ10" s="731"/>
      <c r="NQD10" s="731"/>
      <c r="NQH10" s="731"/>
      <c r="NQL10" s="731"/>
      <c r="NQP10" s="731"/>
      <c r="NQT10" s="731"/>
      <c r="NQX10" s="731"/>
      <c r="NRB10" s="731"/>
      <c r="NRF10" s="731"/>
      <c r="NRJ10" s="731"/>
      <c r="NRN10" s="731"/>
      <c r="NRR10" s="731"/>
      <c r="NRV10" s="731"/>
      <c r="NRZ10" s="731"/>
      <c r="NSD10" s="731"/>
      <c r="NSH10" s="731"/>
      <c r="NSL10" s="731"/>
      <c r="NSP10" s="731"/>
      <c r="NST10" s="731"/>
      <c r="NSX10" s="731"/>
      <c r="NTB10" s="731"/>
      <c r="NTF10" s="731"/>
      <c r="NTJ10" s="731"/>
      <c r="NTN10" s="731"/>
      <c r="NTR10" s="731"/>
      <c r="NTV10" s="731"/>
      <c r="NTZ10" s="731"/>
      <c r="NUD10" s="731"/>
      <c r="NUH10" s="731"/>
      <c r="NUL10" s="731"/>
      <c r="NUP10" s="731"/>
      <c r="NUT10" s="731"/>
      <c r="NUX10" s="731"/>
      <c r="NVB10" s="731"/>
      <c r="NVF10" s="731"/>
      <c r="NVJ10" s="731"/>
      <c r="NVN10" s="731"/>
      <c r="NVR10" s="731"/>
      <c r="NVV10" s="731"/>
      <c r="NVZ10" s="731"/>
      <c r="NWD10" s="731"/>
      <c r="NWH10" s="731"/>
      <c r="NWL10" s="731"/>
      <c r="NWP10" s="731"/>
      <c r="NWT10" s="731"/>
      <c r="NWX10" s="731"/>
      <c r="NXB10" s="731"/>
      <c r="NXF10" s="731"/>
      <c r="NXJ10" s="731"/>
      <c r="NXN10" s="731"/>
      <c r="NXR10" s="731"/>
      <c r="NXV10" s="731"/>
      <c r="NXZ10" s="731"/>
      <c r="NYD10" s="731"/>
      <c r="NYH10" s="731"/>
      <c r="NYL10" s="731"/>
      <c r="NYP10" s="731"/>
      <c r="NYT10" s="731"/>
      <c r="NYX10" s="731"/>
      <c r="NZB10" s="731"/>
      <c r="NZF10" s="731"/>
      <c r="NZJ10" s="731"/>
      <c r="NZN10" s="731"/>
      <c r="NZR10" s="731"/>
      <c r="NZV10" s="731"/>
      <c r="NZZ10" s="731"/>
      <c r="OAD10" s="731"/>
      <c r="OAH10" s="731"/>
      <c r="OAL10" s="731"/>
      <c r="OAP10" s="731"/>
      <c r="OAT10" s="731"/>
      <c r="OAX10" s="731"/>
      <c r="OBB10" s="731"/>
      <c r="OBF10" s="731"/>
      <c r="OBJ10" s="731"/>
      <c r="OBN10" s="731"/>
      <c r="OBR10" s="731"/>
      <c r="OBV10" s="731"/>
      <c r="OBZ10" s="731"/>
      <c r="OCD10" s="731"/>
      <c r="OCH10" s="731"/>
      <c r="OCL10" s="731"/>
      <c r="OCP10" s="731"/>
      <c r="OCT10" s="731"/>
      <c r="OCX10" s="731"/>
      <c r="ODB10" s="731"/>
      <c r="ODF10" s="731"/>
      <c r="ODJ10" s="731"/>
      <c r="ODN10" s="731"/>
      <c r="ODR10" s="731"/>
      <c r="ODV10" s="731"/>
      <c r="ODZ10" s="731"/>
      <c r="OED10" s="731"/>
      <c r="OEH10" s="731"/>
      <c r="OEL10" s="731"/>
      <c r="OEP10" s="731"/>
      <c r="OET10" s="731"/>
      <c r="OEX10" s="731"/>
      <c r="OFB10" s="731"/>
      <c r="OFF10" s="731"/>
      <c r="OFJ10" s="731"/>
      <c r="OFN10" s="731"/>
      <c r="OFR10" s="731"/>
      <c r="OFV10" s="731"/>
      <c r="OFZ10" s="731"/>
      <c r="OGD10" s="731"/>
      <c r="OGH10" s="731"/>
      <c r="OGL10" s="731"/>
      <c r="OGP10" s="731"/>
      <c r="OGT10" s="731"/>
      <c r="OGX10" s="731"/>
      <c r="OHB10" s="731"/>
      <c r="OHF10" s="731"/>
      <c r="OHJ10" s="731"/>
      <c r="OHN10" s="731"/>
      <c r="OHR10" s="731"/>
      <c r="OHV10" s="731"/>
      <c r="OHZ10" s="731"/>
      <c r="OID10" s="731"/>
      <c r="OIH10" s="731"/>
      <c r="OIL10" s="731"/>
      <c r="OIP10" s="731"/>
      <c r="OIT10" s="731"/>
      <c r="OIX10" s="731"/>
      <c r="OJB10" s="731"/>
      <c r="OJF10" s="731"/>
      <c r="OJJ10" s="731"/>
      <c r="OJN10" s="731"/>
      <c r="OJR10" s="731"/>
      <c r="OJV10" s="731"/>
      <c r="OJZ10" s="731"/>
      <c r="OKD10" s="731"/>
      <c r="OKH10" s="731"/>
      <c r="OKL10" s="731"/>
      <c r="OKP10" s="731"/>
      <c r="OKT10" s="731"/>
      <c r="OKX10" s="731"/>
      <c r="OLB10" s="731"/>
      <c r="OLF10" s="731"/>
      <c r="OLJ10" s="731"/>
      <c r="OLN10" s="731"/>
      <c r="OLR10" s="731"/>
      <c r="OLV10" s="731"/>
      <c r="OLZ10" s="731"/>
      <c r="OMD10" s="731"/>
      <c r="OMH10" s="731"/>
      <c r="OML10" s="731"/>
      <c r="OMP10" s="731"/>
      <c r="OMT10" s="731"/>
      <c r="OMX10" s="731"/>
      <c r="ONB10" s="731"/>
      <c r="ONF10" s="731"/>
      <c r="ONJ10" s="731"/>
      <c r="ONN10" s="731"/>
      <c r="ONR10" s="731"/>
      <c r="ONV10" s="731"/>
      <c r="ONZ10" s="731"/>
      <c r="OOD10" s="731"/>
      <c r="OOH10" s="731"/>
      <c r="OOL10" s="731"/>
      <c r="OOP10" s="731"/>
      <c r="OOT10" s="731"/>
      <c r="OOX10" s="731"/>
      <c r="OPB10" s="731"/>
      <c r="OPF10" s="731"/>
      <c r="OPJ10" s="731"/>
      <c r="OPN10" s="731"/>
      <c r="OPR10" s="731"/>
      <c r="OPV10" s="731"/>
      <c r="OPZ10" s="731"/>
      <c r="OQD10" s="731"/>
      <c r="OQH10" s="731"/>
      <c r="OQL10" s="731"/>
      <c r="OQP10" s="731"/>
      <c r="OQT10" s="731"/>
      <c r="OQX10" s="731"/>
      <c r="ORB10" s="731"/>
      <c r="ORF10" s="731"/>
      <c r="ORJ10" s="731"/>
      <c r="ORN10" s="731"/>
      <c r="ORR10" s="731"/>
      <c r="ORV10" s="731"/>
      <c r="ORZ10" s="731"/>
      <c r="OSD10" s="731"/>
      <c r="OSH10" s="731"/>
      <c r="OSL10" s="731"/>
      <c r="OSP10" s="731"/>
      <c r="OST10" s="731"/>
      <c r="OSX10" s="731"/>
      <c r="OTB10" s="731"/>
      <c r="OTF10" s="731"/>
      <c r="OTJ10" s="731"/>
      <c r="OTN10" s="731"/>
      <c r="OTR10" s="731"/>
      <c r="OTV10" s="731"/>
      <c r="OTZ10" s="731"/>
      <c r="OUD10" s="731"/>
      <c r="OUH10" s="731"/>
      <c r="OUL10" s="731"/>
      <c r="OUP10" s="731"/>
      <c r="OUT10" s="731"/>
      <c r="OUX10" s="731"/>
      <c r="OVB10" s="731"/>
      <c r="OVF10" s="731"/>
      <c r="OVJ10" s="731"/>
      <c r="OVN10" s="731"/>
      <c r="OVR10" s="731"/>
      <c r="OVV10" s="731"/>
      <c r="OVZ10" s="731"/>
      <c r="OWD10" s="731"/>
      <c r="OWH10" s="731"/>
      <c r="OWL10" s="731"/>
      <c r="OWP10" s="731"/>
      <c r="OWT10" s="731"/>
      <c r="OWX10" s="731"/>
      <c r="OXB10" s="731"/>
      <c r="OXF10" s="731"/>
      <c r="OXJ10" s="731"/>
      <c r="OXN10" s="731"/>
      <c r="OXR10" s="731"/>
      <c r="OXV10" s="731"/>
      <c r="OXZ10" s="731"/>
      <c r="OYD10" s="731"/>
      <c r="OYH10" s="731"/>
      <c r="OYL10" s="731"/>
      <c r="OYP10" s="731"/>
      <c r="OYT10" s="731"/>
      <c r="OYX10" s="731"/>
      <c r="OZB10" s="731"/>
      <c r="OZF10" s="731"/>
      <c r="OZJ10" s="731"/>
      <c r="OZN10" s="731"/>
      <c r="OZR10" s="731"/>
      <c r="OZV10" s="731"/>
      <c r="OZZ10" s="731"/>
      <c r="PAD10" s="731"/>
      <c r="PAH10" s="731"/>
      <c r="PAL10" s="731"/>
      <c r="PAP10" s="731"/>
      <c r="PAT10" s="731"/>
      <c r="PAX10" s="731"/>
      <c r="PBB10" s="731"/>
      <c r="PBF10" s="731"/>
      <c r="PBJ10" s="731"/>
      <c r="PBN10" s="731"/>
      <c r="PBR10" s="731"/>
      <c r="PBV10" s="731"/>
      <c r="PBZ10" s="731"/>
      <c r="PCD10" s="731"/>
      <c r="PCH10" s="731"/>
      <c r="PCL10" s="731"/>
      <c r="PCP10" s="731"/>
      <c r="PCT10" s="731"/>
      <c r="PCX10" s="731"/>
      <c r="PDB10" s="731"/>
      <c r="PDF10" s="731"/>
      <c r="PDJ10" s="731"/>
      <c r="PDN10" s="731"/>
      <c r="PDR10" s="731"/>
      <c r="PDV10" s="731"/>
      <c r="PDZ10" s="731"/>
      <c r="PED10" s="731"/>
      <c r="PEH10" s="731"/>
      <c r="PEL10" s="731"/>
      <c r="PEP10" s="731"/>
      <c r="PET10" s="731"/>
      <c r="PEX10" s="731"/>
      <c r="PFB10" s="731"/>
      <c r="PFF10" s="731"/>
      <c r="PFJ10" s="731"/>
      <c r="PFN10" s="731"/>
      <c r="PFR10" s="731"/>
      <c r="PFV10" s="731"/>
      <c r="PFZ10" s="731"/>
      <c r="PGD10" s="731"/>
      <c r="PGH10" s="731"/>
      <c r="PGL10" s="731"/>
      <c r="PGP10" s="731"/>
      <c r="PGT10" s="731"/>
      <c r="PGX10" s="731"/>
      <c r="PHB10" s="731"/>
      <c r="PHF10" s="731"/>
      <c r="PHJ10" s="731"/>
      <c r="PHN10" s="731"/>
      <c r="PHR10" s="731"/>
      <c r="PHV10" s="731"/>
      <c r="PHZ10" s="731"/>
      <c r="PID10" s="731"/>
      <c r="PIH10" s="731"/>
      <c r="PIL10" s="731"/>
      <c r="PIP10" s="731"/>
      <c r="PIT10" s="731"/>
      <c r="PIX10" s="731"/>
      <c r="PJB10" s="731"/>
      <c r="PJF10" s="731"/>
      <c r="PJJ10" s="731"/>
      <c r="PJN10" s="731"/>
      <c r="PJR10" s="731"/>
      <c r="PJV10" s="731"/>
      <c r="PJZ10" s="731"/>
      <c r="PKD10" s="731"/>
      <c r="PKH10" s="731"/>
      <c r="PKL10" s="731"/>
      <c r="PKP10" s="731"/>
      <c r="PKT10" s="731"/>
      <c r="PKX10" s="731"/>
      <c r="PLB10" s="731"/>
      <c r="PLF10" s="731"/>
      <c r="PLJ10" s="731"/>
      <c r="PLN10" s="731"/>
      <c r="PLR10" s="731"/>
      <c r="PLV10" s="731"/>
      <c r="PLZ10" s="731"/>
      <c r="PMD10" s="731"/>
      <c r="PMH10" s="731"/>
      <c r="PML10" s="731"/>
      <c r="PMP10" s="731"/>
      <c r="PMT10" s="731"/>
      <c r="PMX10" s="731"/>
      <c r="PNB10" s="731"/>
      <c r="PNF10" s="731"/>
      <c r="PNJ10" s="731"/>
      <c r="PNN10" s="731"/>
      <c r="PNR10" s="731"/>
      <c r="PNV10" s="731"/>
      <c r="PNZ10" s="731"/>
      <c r="POD10" s="731"/>
      <c r="POH10" s="731"/>
      <c r="POL10" s="731"/>
      <c r="POP10" s="731"/>
      <c r="POT10" s="731"/>
      <c r="POX10" s="731"/>
      <c r="PPB10" s="731"/>
      <c r="PPF10" s="731"/>
      <c r="PPJ10" s="731"/>
      <c r="PPN10" s="731"/>
      <c r="PPR10" s="731"/>
      <c r="PPV10" s="731"/>
      <c r="PPZ10" s="731"/>
      <c r="PQD10" s="731"/>
      <c r="PQH10" s="731"/>
      <c r="PQL10" s="731"/>
      <c r="PQP10" s="731"/>
      <c r="PQT10" s="731"/>
      <c r="PQX10" s="731"/>
      <c r="PRB10" s="731"/>
      <c r="PRF10" s="731"/>
      <c r="PRJ10" s="731"/>
      <c r="PRN10" s="731"/>
      <c r="PRR10" s="731"/>
      <c r="PRV10" s="731"/>
      <c r="PRZ10" s="731"/>
      <c r="PSD10" s="731"/>
      <c r="PSH10" s="731"/>
      <c r="PSL10" s="731"/>
      <c r="PSP10" s="731"/>
      <c r="PST10" s="731"/>
      <c r="PSX10" s="731"/>
      <c r="PTB10" s="731"/>
      <c r="PTF10" s="731"/>
      <c r="PTJ10" s="731"/>
      <c r="PTN10" s="731"/>
      <c r="PTR10" s="731"/>
      <c r="PTV10" s="731"/>
      <c r="PTZ10" s="731"/>
      <c r="PUD10" s="731"/>
      <c r="PUH10" s="731"/>
      <c r="PUL10" s="731"/>
      <c r="PUP10" s="731"/>
      <c r="PUT10" s="731"/>
      <c r="PUX10" s="731"/>
      <c r="PVB10" s="731"/>
      <c r="PVF10" s="731"/>
      <c r="PVJ10" s="731"/>
      <c r="PVN10" s="731"/>
      <c r="PVR10" s="731"/>
      <c r="PVV10" s="731"/>
      <c r="PVZ10" s="731"/>
      <c r="PWD10" s="731"/>
      <c r="PWH10" s="731"/>
      <c r="PWL10" s="731"/>
      <c r="PWP10" s="731"/>
      <c r="PWT10" s="731"/>
      <c r="PWX10" s="731"/>
      <c r="PXB10" s="731"/>
      <c r="PXF10" s="731"/>
      <c r="PXJ10" s="731"/>
      <c r="PXN10" s="731"/>
      <c r="PXR10" s="731"/>
      <c r="PXV10" s="731"/>
      <c r="PXZ10" s="731"/>
      <c r="PYD10" s="731"/>
      <c r="PYH10" s="731"/>
      <c r="PYL10" s="731"/>
      <c r="PYP10" s="731"/>
      <c r="PYT10" s="731"/>
      <c r="PYX10" s="731"/>
      <c r="PZB10" s="731"/>
      <c r="PZF10" s="731"/>
      <c r="PZJ10" s="731"/>
      <c r="PZN10" s="731"/>
      <c r="PZR10" s="731"/>
      <c r="PZV10" s="731"/>
      <c r="PZZ10" s="731"/>
      <c r="QAD10" s="731"/>
      <c r="QAH10" s="731"/>
      <c r="QAL10" s="731"/>
      <c r="QAP10" s="731"/>
      <c r="QAT10" s="731"/>
      <c r="QAX10" s="731"/>
      <c r="QBB10" s="731"/>
      <c r="QBF10" s="731"/>
      <c r="QBJ10" s="731"/>
      <c r="QBN10" s="731"/>
      <c r="QBR10" s="731"/>
      <c r="QBV10" s="731"/>
      <c r="QBZ10" s="731"/>
      <c r="QCD10" s="731"/>
      <c r="QCH10" s="731"/>
      <c r="QCL10" s="731"/>
      <c r="QCP10" s="731"/>
      <c r="QCT10" s="731"/>
      <c r="QCX10" s="731"/>
      <c r="QDB10" s="731"/>
      <c r="QDF10" s="731"/>
      <c r="QDJ10" s="731"/>
      <c r="QDN10" s="731"/>
      <c r="QDR10" s="731"/>
      <c r="QDV10" s="731"/>
      <c r="QDZ10" s="731"/>
      <c r="QED10" s="731"/>
      <c r="QEH10" s="731"/>
      <c r="QEL10" s="731"/>
      <c r="QEP10" s="731"/>
      <c r="QET10" s="731"/>
      <c r="QEX10" s="731"/>
      <c r="QFB10" s="731"/>
      <c r="QFF10" s="731"/>
      <c r="QFJ10" s="731"/>
      <c r="QFN10" s="731"/>
      <c r="QFR10" s="731"/>
      <c r="QFV10" s="731"/>
      <c r="QFZ10" s="731"/>
      <c r="QGD10" s="731"/>
      <c r="QGH10" s="731"/>
      <c r="QGL10" s="731"/>
      <c r="QGP10" s="731"/>
      <c r="QGT10" s="731"/>
      <c r="QGX10" s="731"/>
      <c r="QHB10" s="731"/>
      <c r="QHF10" s="731"/>
      <c r="QHJ10" s="731"/>
      <c r="QHN10" s="731"/>
      <c r="QHR10" s="731"/>
      <c r="QHV10" s="731"/>
      <c r="QHZ10" s="731"/>
      <c r="QID10" s="731"/>
      <c r="QIH10" s="731"/>
      <c r="QIL10" s="731"/>
      <c r="QIP10" s="731"/>
      <c r="QIT10" s="731"/>
      <c r="QIX10" s="731"/>
      <c r="QJB10" s="731"/>
      <c r="QJF10" s="731"/>
      <c r="QJJ10" s="731"/>
      <c r="QJN10" s="731"/>
      <c r="QJR10" s="731"/>
      <c r="QJV10" s="731"/>
      <c r="QJZ10" s="731"/>
      <c r="QKD10" s="731"/>
      <c r="QKH10" s="731"/>
      <c r="QKL10" s="731"/>
      <c r="QKP10" s="731"/>
      <c r="QKT10" s="731"/>
      <c r="QKX10" s="731"/>
      <c r="QLB10" s="731"/>
      <c r="QLF10" s="731"/>
      <c r="QLJ10" s="731"/>
      <c r="QLN10" s="731"/>
      <c r="QLR10" s="731"/>
      <c r="QLV10" s="731"/>
      <c r="QLZ10" s="731"/>
      <c r="QMD10" s="731"/>
      <c r="QMH10" s="731"/>
      <c r="QML10" s="731"/>
      <c r="QMP10" s="731"/>
      <c r="QMT10" s="731"/>
      <c r="QMX10" s="731"/>
      <c r="QNB10" s="731"/>
      <c r="QNF10" s="731"/>
      <c r="QNJ10" s="731"/>
      <c r="QNN10" s="731"/>
      <c r="QNR10" s="731"/>
      <c r="QNV10" s="731"/>
      <c r="QNZ10" s="731"/>
      <c r="QOD10" s="731"/>
      <c r="QOH10" s="731"/>
      <c r="QOL10" s="731"/>
      <c r="QOP10" s="731"/>
      <c r="QOT10" s="731"/>
      <c r="QOX10" s="731"/>
      <c r="QPB10" s="731"/>
      <c r="QPF10" s="731"/>
      <c r="QPJ10" s="731"/>
      <c r="QPN10" s="731"/>
      <c r="QPR10" s="731"/>
      <c r="QPV10" s="731"/>
      <c r="QPZ10" s="731"/>
      <c r="QQD10" s="731"/>
      <c r="QQH10" s="731"/>
      <c r="QQL10" s="731"/>
      <c r="QQP10" s="731"/>
      <c r="QQT10" s="731"/>
      <c r="QQX10" s="731"/>
      <c r="QRB10" s="731"/>
      <c r="QRF10" s="731"/>
      <c r="QRJ10" s="731"/>
      <c r="QRN10" s="731"/>
      <c r="QRR10" s="731"/>
      <c r="QRV10" s="731"/>
      <c r="QRZ10" s="731"/>
      <c r="QSD10" s="731"/>
      <c r="QSH10" s="731"/>
      <c r="QSL10" s="731"/>
      <c r="QSP10" s="731"/>
      <c r="QST10" s="731"/>
      <c r="QSX10" s="731"/>
      <c r="QTB10" s="731"/>
      <c r="QTF10" s="731"/>
      <c r="QTJ10" s="731"/>
      <c r="QTN10" s="731"/>
      <c r="QTR10" s="731"/>
      <c r="QTV10" s="731"/>
      <c r="QTZ10" s="731"/>
      <c r="QUD10" s="731"/>
      <c r="QUH10" s="731"/>
      <c r="QUL10" s="731"/>
      <c r="QUP10" s="731"/>
      <c r="QUT10" s="731"/>
      <c r="QUX10" s="731"/>
      <c r="QVB10" s="731"/>
      <c r="QVF10" s="731"/>
      <c r="QVJ10" s="731"/>
      <c r="QVN10" s="731"/>
      <c r="QVR10" s="731"/>
      <c r="QVV10" s="731"/>
      <c r="QVZ10" s="731"/>
      <c r="QWD10" s="731"/>
      <c r="QWH10" s="731"/>
      <c r="QWL10" s="731"/>
      <c r="QWP10" s="731"/>
      <c r="QWT10" s="731"/>
      <c r="QWX10" s="731"/>
      <c r="QXB10" s="731"/>
      <c r="QXF10" s="731"/>
      <c r="QXJ10" s="731"/>
      <c r="QXN10" s="731"/>
      <c r="QXR10" s="731"/>
      <c r="QXV10" s="731"/>
      <c r="QXZ10" s="731"/>
      <c r="QYD10" s="731"/>
      <c r="QYH10" s="731"/>
      <c r="QYL10" s="731"/>
      <c r="QYP10" s="731"/>
      <c r="QYT10" s="731"/>
      <c r="QYX10" s="731"/>
      <c r="QZB10" s="731"/>
      <c r="QZF10" s="731"/>
      <c r="QZJ10" s="731"/>
      <c r="QZN10" s="731"/>
      <c r="QZR10" s="731"/>
      <c r="QZV10" s="731"/>
      <c r="QZZ10" s="731"/>
      <c r="RAD10" s="731"/>
      <c r="RAH10" s="731"/>
      <c r="RAL10" s="731"/>
      <c r="RAP10" s="731"/>
      <c r="RAT10" s="731"/>
      <c r="RAX10" s="731"/>
      <c r="RBB10" s="731"/>
      <c r="RBF10" s="731"/>
      <c r="RBJ10" s="731"/>
      <c r="RBN10" s="731"/>
      <c r="RBR10" s="731"/>
      <c r="RBV10" s="731"/>
      <c r="RBZ10" s="731"/>
      <c r="RCD10" s="731"/>
      <c r="RCH10" s="731"/>
      <c r="RCL10" s="731"/>
      <c r="RCP10" s="731"/>
      <c r="RCT10" s="731"/>
      <c r="RCX10" s="731"/>
      <c r="RDB10" s="731"/>
      <c r="RDF10" s="731"/>
      <c r="RDJ10" s="731"/>
      <c r="RDN10" s="731"/>
      <c r="RDR10" s="731"/>
      <c r="RDV10" s="731"/>
      <c r="RDZ10" s="731"/>
      <c r="RED10" s="731"/>
      <c r="REH10" s="731"/>
      <c r="REL10" s="731"/>
      <c r="REP10" s="731"/>
      <c r="RET10" s="731"/>
      <c r="REX10" s="731"/>
      <c r="RFB10" s="731"/>
      <c r="RFF10" s="731"/>
      <c r="RFJ10" s="731"/>
      <c r="RFN10" s="731"/>
      <c r="RFR10" s="731"/>
      <c r="RFV10" s="731"/>
      <c r="RFZ10" s="731"/>
      <c r="RGD10" s="731"/>
      <c r="RGH10" s="731"/>
      <c r="RGL10" s="731"/>
      <c r="RGP10" s="731"/>
      <c r="RGT10" s="731"/>
      <c r="RGX10" s="731"/>
      <c r="RHB10" s="731"/>
      <c r="RHF10" s="731"/>
      <c r="RHJ10" s="731"/>
      <c r="RHN10" s="731"/>
      <c r="RHR10" s="731"/>
      <c r="RHV10" s="731"/>
      <c r="RHZ10" s="731"/>
      <c r="RID10" s="731"/>
      <c r="RIH10" s="731"/>
      <c r="RIL10" s="731"/>
      <c r="RIP10" s="731"/>
      <c r="RIT10" s="731"/>
      <c r="RIX10" s="731"/>
      <c r="RJB10" s="731"/>
      <c r="RJF10" s="731"/>
      <c r="RJJ10" s="731"/>
      <c r="RJN10" s="731"/>
      <c r="RJR10" s="731"/>
      <c r="RJV10" s="731"/>
      <c r="RJZ10" s="731"/>
      <c r="RKD10" s="731"/>
      <c r="RKH10" s="731"/>
      <c r="RKL10" s="731"/>
      <c r="RKP10" s="731"/>
      <c r="RKT10" s="731"/>
      <c r="RKX10" s="731"/>
      <c r="RLB10" s="731"/>
      <c r="RLF10" s="731"/>
      <c r="RLJ10" s="731"/>
      <c r="RLN10" s="731"/>
      <c r="RLR10" s="731"/>
      <c r="RLV10" s="731"/>
      <c r="RLZ10" s="731"/>
      <c r="RMD10" s="731"/>
      <c r="RMH10" s="731"/>
      <c r="RML10" s="731"/>
      <c r="RMP10" s="731"/>
      <c r="RMT10" s="731"/>
      <c r="RMX10" s="731"/>
      <c r="RNB10" s="731"/>
      <c r="RNF10" s="731"/>
      <c r="RNJ10" s="731"/>
      <c r="RNN10" s="731"/>
      <c r="RNR10" s="731"/>
      <c r="RNV10" s="731"/>
      <c r="RNZ10" s="731"/>
      <c r="ROD10" s="731"/>
      <c r="ROH10" s="731"/>
      <c r="ROL10" s="731"/>
      <c r="ROP10" s="731"/>
      <c r="ROT10" s="731"/>
      <c r="ROX10" s="731"/>
      <c r="RPB10" s="731"/>
      <c r="RPF10" s="731"/>
      <c r="RPJ10" s="731"/>
      <c r="RPN10" s="731"/>
      <c r="RPR10" s="731"/>
      <c r="RPV10" s="731"/>
      <c r="RPZ10" s="731"/>
      <c r="RQD10" s="731"/>
      <c r="RQH10" s="731"/>
      <c r="RQL10" s="731"/>
      <c r="RQP10" s="731"/>
      <c r="RQT10" s="731"/>
      <c r="RQX10" s="731"/>
      <c r="RRB10" s="731"/>
      <c r="RRF10" s="731"/>
      <c r="RRJ10" s="731"/>
      <c r="RRN10" s="731"/>
      <c r="RRR10" s="731"/>
      <c r="RRV10" s="731"/>
      <c r="RRZ10" s="731"/>
      <c r="RSD10" s="731"/>
      <c r="RSH10" s="731"/>
      <c r="RSL10" s="731"/>
      <c r="RSP10" s="731"/>
      <c r="RST10" s="731"/>
      <c r="RSX10" s="731"/>
      <c r="RTB10" s="731"/>
      <c r="RTF10" s="731"/>
      <c r="RTJ10" s="731"/>
      <c r="RTN10" s="731"/>
      <c r="RTR10" s="731"/>
      <c r="RTV10" s="731"/>
      <c r="RTZ10" s="731"/>
      <c r="RUD10" s="731"/>
      <c r="RUH10" s="731"/>
      <c r="RUL10" s="731"/>
      <c r="RUP10" s="731"/>
      <c r="RUT10" s="731"/>
      <c r="RUX10" s="731"/>
      <c r="RVB10" s="731"/>
      <c r="RVF10" s="731"/>
      <c r="RVJ10" s="731"/>
      <c r="RVN10" s="731"/>
      <c r="RVR10" s="731"/>
      <c r="RVV10" s="731"/>
      <c r="RVZ10" s="731"/>
      <c r="RWD10" s="731"/>
      <c r="RWH10" s="731"/>
      <c r="RWL10" s="731"/>
      <c r="RWP10" s="731"/>
      <c r="RWT10" s="731"/>
      <c r="RWX10" s="731"/>
      <c r="RXB10" s="731"/>
      <c r="RXF10" s="731"/>
      <c r="RXJ10" s="731"/>
      <c r="RXN10" s="731"/>
      <c r="RXR10" s="731"/>
      <c r="RXV10" s="731"/>
      <c r="RXZ10" s="731"/>
      <c r="RYD10" s="731"/>
      <c r="RYH10" s="731"/>
      <c r="RYL10" s="731"/>
      <c r="RYP10" s="731"/>
      <c r="RYT10" s="731"/>
      <c r="RYX10" s="731"/>
      <c r="RZB10" s="731"/>
      <c r="RZF10" s="731"/>
      <c r="RZJ10" s="731"/>
      <c r="RZN10" s="731"/>
      <c r="RZR10" s="731"/>
      <c r="RZV10" s="731"/>
      <c r="RZZ10" s="731"/>
      <c r="SAD10" s="731"/>
      <c r="SAH10" s="731"/>
      <c r="SAL10" s="731"/>
      <c r="SAP10" s="731"/>
      <c r="SAT10" s="731"/>
      <c r="SAX10" s="731"/>
      <c r="SBB10" s="731"/>
      <c r="SBF10" s="731"/>
      <c r="SBJ10" s="731"/>
      <c r="SBN10" s="731"/>
      <c r="SBR10" s="731"/>
      <c r="SBV10" s="731"/>
      <c r="SBZ10" s="731"/>
      <c r="SCD10" s="731"/>
      <c r="SCH10" s="731"/>
      <c r="SCL10" s="731"/>
      <c r="SCP10" s="731"/>
      <c r="SCT10" s="731"/>
      <c r="SCX10" s="731"/>
      <c r="SDB10" s="731"/>
      <c r="SDF10" s="731"/>
      <c r="SDJ10" s="731"/>
      <c r="SDN10" s="731"/>
      <c r="SDR10" s="731"/>
      <c r="SDV10" s="731"/>
      <c r="SDZ10" s="731"/>
      <c r="SED10" s="731"/>
      <c r="SEH10" s="731"/>
      <c r="SEL10" s="731"/>
      <c r="SEP10" s="731"/>
      <c r="SET10" s="731"/>
      <c r="SEX10" s="731"/>
      <c r="SFB10" s="731"/>
      <c r="SFF10" s="731"/>
      <c r="SFJ10" s="731"/>
      <c r="SFN10" s="731"/>
      <c r="SFR10" s="731"/>
      <c r="SFV10" s="731"/>
      <c r="SFZ10" s="731"/>
      <c r="SGD10" s="731"/>
      <c r="SGH10" s="731"/>
      <c r="SGL10" s="731"/>
      <c r="SGP10" s="731"/>
      <c r="SGT10" s="731"/>
      <c r="SGX10" s="731"/>
      <c r="SHB10" s="731"/>
      <c r="SHF10" s="731"/>
      <c r="SHJ10" s="731"/>
      <c r="SHN10" s="731"/>
      <c r="SHR10" s="731"/>
      <c r="SHV10" s="731"/>
      <c r="SHZ10" s="731"/>
      <c r="SID10" s="731"/>
      <c r="SIH10" s="731"/>
      <c r="SIL10" s="731"/>
      <c r="SIP10" s="731"/>
      <c r="SIT10" s="731"/>
      <c r="SIX10" s="731"/>
      <c r="SJB10" s="731"/>
      <c r="SJF10" s="731"/>
      <c r="SJJ10" s="731"/>
      <c r="SJN10" s="731"/>
      <c r="SJR10" s="731"/>
      <c r="SJV10" s="731"/>
      <c r="SJZ10" s="731"/>
      <c r="SKD10" s="731"/>
      <c r="SKH10" s="731"/>
      <c r="SKL10" s="731"/>
      <c r="SKP10" s="731"/>
      <c r="SKT10" s="731"/>
      <c r="SKX10" s="731"/>
      <c r="SLB10" s="731"/>
      <c r="SLF10" s="731"/>
      <c r="SLJ10" s="731"/>
      <c r="SLN10" s="731"/>
      <c r="SLR10" s="731"/>
      <c r="SLV10" s="731"/>
      <c r="SLZ10" s="731"/>
      <c r="SMD10" s="731"/>
      <c r="SMH10" s="731"/>
      <c r="SML10" s="731"/>
      <c r="SMP10" s="731"/>
      <c r="SMT10" s="731"/>
      <c r="SMX10" s="731"/>
      <c r="SNB10" s="731"/>
      <c r="SNF10" s="731"/>
      <c r="SNJ10" s="731"/>
      <c r="SNN10" s="731"/>
      <c r="SNR10" s="731"/>
      <c r="SNV10" s="731"/>
      <c r="SNZ10" s="731"/>
      <c r="SOD10" s="731"/>
      <c r="SOH10" s="731"/>
      <c r="SOL10" s="731"/>
      <c r="SOP10" s="731"/>
      <c r="SOT10" s="731"/>
      <c r="SOX10" s="731"/>
      <c r="SPB10" s="731"/>
      <c r="SPF10" s="731"/>
      <c r="SPJ10" s="731"/>
      <c r="SPN10" s="731"/>
      <c r="SPR10" s="731"/>
      <c r="SPV10" s="731"/>
      <c r="SPZ10" s="731"/>
      <c r="SQD10" s="731"/>
      <c r="SQH10" s="731"/>
      <c r="SQL10" s="731"/>
      <c r="SQP10" s="731"/>
      <c r="SQT10" s="731"/>
      <c r="SQX10" s="731"/>
      <c r="SRB10" s="731"/>
      <c r="SRF10" s="731"/>
      <c r="SRJ10" s="731"/>
      <c r="SRN10" s="731"/>
      <c r="SRR10" s="731"/>
      <c r="SRV10" s="731"/>
      <c r="SRZ10" s="731"/>
      <c r="SSD10" s="731"/>
      <c r="SSH10" s="731"/>
      <c r="SSL10" s="731"/>
      <c r="SSP10" s="731"/>
      <c r="SST10" s="731"/>
      <c r="SSX10" s="731"/>
      <c r="STB10" s="731"/>
      <c r="STF10" s="731"/>
      <c r="STJ10" s="731"/>
      <c r="STN10" s="731"/>
      <c r="STR10" s="731"/>
      <c r="STV10" s="731"/>
      <c r="STZ10" s="731"/>
      <c r="SUD10" s="731"/>
      <c r="SUH10" s="731"/>
      <c r="SUL10" s="731"/>
      <c r="SUP10" s="731"/>
      <c r="SUT10" s="731"/>
      <c r="SUX10" s="731"/>
      <c r="SVB10" s="731"/>
      <c r="SVF10" s="731"/>
      <c r="SVJ10" s="731"/>
      <c r="SVN10" s="731"/>
      <c r="SVR10" s="731"/>
      <c r="SVV10" s="731"/>
      <c r="SVZ10" s="731"/>
      <c r="SWD10" s="731"/>
      <c r="SWH10" s="731"/>
      <c r="SWL10" s="731"/>
      <c r="SWP10" s="731"/>
      <c r="SWT10" s="731"/>
      <c r="SWX10" s="731"/>
      <c r="SXB10" s="731"/>
      <c r="SXF10" s="731"/>
      <c r="SXJ10" s="731"/>
      <c r="SXN10" s="731"/>
      <c r="SXR10" s="731"/>
      <c r="SXV10" s="731"/>
      <c r="SXZ10" s="731"/>
      <c r="SYD10" s="731"/>
      <c r="SYH10" s="731"/>
      <c r="SYL10" s="731"/>
      <c r="SYP10" s="731"/>
      <c r="SYT10" s="731"/>
      <c r="SYX10" s="731"/>
      <c r="SZB10" s="731"/>
      <c r="SZF10" s="731"/>
      <c r="SZJ10" s="731"/>
      <c r="SZN10" s="731"/>
      <c r="SZR10" s="731"/>
      <c r="SZV10" s="731"/>
      <c r="SZZ10" s="731"/>
      <c r="TAD10" s="731"/>
      <c r="TAH10" s="731"/>
      <c r="TAL10" s="731"/>
      <c r="TAP10" s="731"/>
      <c r="TAT10" s="731"/>
      <c r="TAX10" s="731"/>
      <c r="TBB10" s="731"/>
      <c r="TBF10" s="731"/>
      <c r="TBJ10" s="731"/>
      <c r="TBN10" s="731"/>
      <c r="TBR10" s="731"/>
      <c r="TBV10" s="731"/>
      <c r="TBZ10" s="731"/>
      <c r="TCD10" s="731"/>
      <c r="TCH10" s="731"/>
      <c r="TCL10" s="731"/>
      <c r="TCP10" s="731"/>
      <c r="TCT10" s="731"/>
      <c r="TCX10" s="731"/>
      <c r="TDB10" s="731"/>
      <c r="TDF10" s="731"/>
      <c r="TDJ10" s="731"/>
      <c r="TDN10" s="731"/>
      <c r="TDR10" s="731"/>
      <c r="TDV10" s="731"/>
      <c r="TDZ10" s="731"/>
      <c r="TED10" s="731"/>
      <c r="TEH10" s="731"/>
      <c r="TEL10" s="731"/>
      <c r="TEP10" s="731"/>
      <c r="TET10" s="731"/>
      <c r="TEX10" s="731"/>
      <c r="TFB10" s="731"/>
      <c r="TFF10" s="731"/>
      <c r="TFJ10" s="731"/>
      <c r="TFN10" s="731"/>
      <c r="TFR10" s="731"/>
      <c r="TFV10" s="731"/>
      <c r="TFZ10" s="731"/>
      <c r="TGD10" s="731"/>
      <c r="TGH10" s="731"/>
      <c r="TGL10" s="731"/>
      <c r="TGP10" s="731"/>
      <c r="TGT10" s="731"/>
      <c r="TGX10" s="731"/>
      <c r="THB10" s="731"/>
      <c r="THF10" s="731"/>
      <c r="THJ10" s="731"/>
      <c r="THN10" s="731"/>
      <c r="THR10" s="731"/>
      <c r="THV10" s="731"/>
      <c r="THZ10" s="731"/>
      <c r="TID10" s="731"/>
      <c r="TIH10" s="731"/>
      <c r="TIL10" s="731"/>
      <c r="TIP10" s="731"/>
      <c r="TIT10" s="731"/>
      <c r="TIX10" s="731"/>
      <c r="TJB10" s="731"/>
      <c r="TJF10" s="731"/>
      <c r="TJJ10" s="731"/>
      <c r="TJN10" s="731"/>
      <c r="TJR10" s="731"/>
      <c r="TJV10" s="731"/>
      <c r="TJZ10" s="731"/>
      <c r="TKD10" s="731"/>
      <c r="TKH10" s="731"/>
      <c r="TKL10" s="731"/>
      <c r="TKP10" s="731"/>
      <c r="TKT10" s="731"/>
      <c r="TKX10" s="731"/>
      <c r="TLB10" s="731"/>
      <c r="TLF10" s="731"/>
      <c r="TLJ10" s="731"/>
      <c r="TLN10" s="731"/>
      <c r="TLR10" s="731"/>
      <c r="TLV10" s="731"/>
      <c r="TLZ10" s="731"/>
      <c r="TMD10" s="731"/>
      <c r="TMH10" s="731"/>
      <c r="TML10" s="731"/>
      <c r="TMP10" s="731"/>
      <c r="TMT10" s="731"/>
      <c r="TMX10" s="731"/>
      <c r="TNB10" s="731"/>
      <c r="TNF10" s="731"/>
      <c r="TNJ10" s="731"/>
      <c r="TNN10" s="731"/>
      <c r="TNR10" s="731"/>
      <c r="TNV10" s="731"/>
      <c r="TNZ10" s="731"/>
      <c r="TOD10" s="731"/>
      <c r="TOH10" s="731"/>
      <c r="TOL10" s="731"/>
      <c r="TOP10" s="731"/>
      <c r="TOT10" s="731"/>
      <c r="TOX10" s="731"/>
      <c r="TPB10" s="731"/>
      <c r="TPF10" s="731"/>
      <c r="TPJ10" s="731"/>
      <c r="TPN10" s="731"/>
      <c r="TPR10" s="731"/>
      <c r="TPV10" s="731"/>
      <c r="TPZ10" s="731"/>
      <c r="TQD10" s="731"/>
      <c r="TQH10" s="731"/>
      <c r="TQL10" s="731"/>
      <c r="TQP10" s="731"/>
      <c r="TQT10" s="731"/>
      <c r="TQX10" s="731"/>
      <c r="TRB10" s="731"/>
      <c r="TRF10" s="731"/>
      <c r="TRJ10" s="731"/>
      <c r="TRN10" s="731"/>
      <c r="TRR10" s="731"/>
      <c r="TRV10" s="731"/>
      <c r="TRZ10" s="731"/>
      <c r="TSD10" s="731"/>
      <c r="TSH10" s="731"/>
      <c r="TSL10" s="731"/>
      <c r="TSP10" s="731"/>
      <c r="TST10" s="731"/>
      <c r="TSX10" s="731"/>
      <c r="TTB10" s="731"/>
      <c r="TTF10" s="731"/>
      <c r="TTJ10" s="731"/>
      <c r="TTN10" s="731"/>
      <c r="TTR10" s="731"/>
      <c r="TTV10" s="731"/>
      <c r="TTZ10" s="731"/>
      <c r="TUD10" s="731"/>
      <c r="TUH10" s="731"/>
      <c r="TUL10" s="731"/>
      <c r="TUP10" s="731"/>
      <c r="TUT10" s="731"/>
      <c r="TUX10" s="731"/>
      <c r="TVB10" s="731"/>
      <c r="TVF10" s="731"/>
      <c r="TVJ10" s="731"/>
      <c r="TVN10" s="731"/>
      <c r="TVR10" s="731"/>
      <c r="TVV10" s="731"/>
      <c r="TVZ10" s="731"/>
      <c r="TWD10" s="731"/>
      <c r="TWH10" s="731"/>
      <c r="TWL10" s="731"/>
      <c r="TWP10" s="731"/>
      <c r="TWT10" s="731"/>
      <c r="TWX10" s="731"/>
      <c r="TXB10" s="731"/>
      <c r="TXF10" s="731"/>
      <c r="TXJ10" s="731"/>
      <c r="TXN10" s="731"/>
      <c r="TXR10" s="731"/>
      <c r="TXV10" s="731"/>
      <c r="TXZ10" s="731"/>
      <c r="TYD10" s="731"/>
      <c r="TYH10" s="731"/>
      <c r="TYL10" s="731"/>
      <c r="TYP10" s="731"/>
      <c r="TYT10" s="731"/>
      <c r="TYX10" s="731"/>
      <c r="TZB10" s="731"/>
      <c r="TZF10" s="731"/>
      <c r="TZJ10" s="731"/>
      <c r="TZN10" s="731"/>
      <c r="TZR10" s="731"/>
      <c r="TZV10" s="731"/>
      <c r="TZZ10" s="731"/>
      <c r="UAD10" s="731"/>
      <c r="UAH10" s="731"/>
      <c r="UAL10" s="731"/>
      <c r="UAP10" s="731"/>
      <c r="UAT10" s="731"/>
      <c r="UAX10" s="731"/>
      <c r="UBB10" s="731"/>
      <c r="UBF10" s="731"/>
      <c r="UBJ10" s="731"/>
      <c r="UBN10" s="731"/>
      <c r="UBR10" s="731"/>
      <c r="UBV10" s="731"/>
      <c r="UBZ10" s="731"/>
      <c r="UCD10" s="731"/>
      <c r="UCH10" s="731"/>
      <c r="UCL10" s="731"/>
      <c r="UCP10" s="731"/>
      <c r="UCT10" s="731"/>
      <c r="UCX10" s="731"/>
      <c r="UDB10" s="731"/>
      <c r="UDF10" s="731"/>
      <c r="UDJ10" s="731"/>
      <c r="UDN10" s="731"/>
      <c r="UDR10" s="731"/>
      <c r="UDV10" s="731"/>
      <c r="UDZ10" s="731"/>
      <c r="UED10" s="731"/>
      <c r="UEH10" s="731"/>
      <c r="UEL10" s="731"/>
      <c r="UEP10" s="731"/>
      <c r="UET10" s="731"/>
      <c r="UEX10" s="731"/>
      <c r="UFB10" s="731"/>
      <c r="UFF10" s="731"/>
      <c r="UFJ10" s="731"/>
      <c r="UFN10" s="731"/>
      <c r="UFR10" s="731"/>
      <c r="UFV10" s="731"/>
      <c r="UFZ10" s="731"/>
      <c r="UGD10" s="731"/>
      <c r="UGH10" s="731"/>
      <c r="UGL10" s="731"/>
      <c r="UGP10" s="731"/>
      <c r="UGT10" s="731"/>
      <c r="UGX10" s="731"/>
      <c r="UHB10" s="731"/>
      <c r="UHF10" s="731"/>
      <c r="UHJ10" s="731"/>
      <c r="UHN10" s="731"/>
      <c r="UHR10" s="731"/>
      <c r="UHV10" s="731"/>
      <c r="UHZ10" s="731"/>
      <c r="UID10" s="731"/>
      <c r="UIH10" s="731"/>
      <c r="UIL10" s="731"/>
      <c r="UIP10" s="731"/>
      <c r="UIT10" s="731"/>
      <c r="UIX10" s="731"/>
      <c r="UJB10" s="731"/>
      <c r="UJF10" s="731"/>
      <c r="UJJ10" s="731"/>
      <c r="UJN10" s="731"/>
      <c r="UJR10" s="731"/>
      <c r="UJV10" s="731"/>
      <c r="UJZ10" s="731"/>
      <c r="UKD10" s="731"/>
      <c r="UKH10" s="731"/>
      <c r="UKL10" s="731"/>
      <c r="UKP10" s="731"/>
      <c r="UKT10" s="731"/>
      <c r="UKX10" s="731"/>
      <c r="ULB10" s="731"/>
      <c r="ULF10" s="731"/>
      <c r="ULJ10" s="731"/>
      <c r="ULN10" s="731"/>
      <c r="ULR10" s="731"/>
      <c r="ULV10" s="731"/>
      <c r="ULZ10" s="731"/>
      <c r="UMD10" s="731"/>
      <c r="UMH10" s="731"/>
      <c r="UML10" s="731"/>
      <c r="UMP10" s="731"/>
      <c r="UMT10" s="731"/>
      <c r="UMX10" s="731"/>
      <c r="UNB10" s="731"/>
      <c r="UNF10" s="731"/>
      <c r="UNJ10" s="731"/>
      <c r="UNN10" s="731"/>
      <c r="UNR10" s="731"/>
      <c r="UNV10" s="731"/>
      <c r="UNZ10" s="731"/>
      <c r="UOD10" s="731"/>
      <c r="UOH10" s="731"/>
      <c r="UOL10" s="731"/>
      <c r="UOP10" s="731"/>
      <c r="UOT10" s="731"/>
      <c r="UOX10" s="731"/>
      <c r="UPB10" s="731"/>
      <c r="UPF10" s="731"/>
      <c r="UPJ10" s="731"/>
      <c r="UPN10" s="731"/>
      <c r="UPR10" s="731"/>
      <c r="UPV10" s="731"/>
      <c r="UPZ10" s="731"/>
      <c r="UQD10" s="731"/>
      <c r="UQH10" s="731"/>
      <c r="UQL10" s="731"/>
      <c r="UQP10" s="731"/>
      <c r="UQT10" s="731"/>
      <c r="UQX10" s="731"/>
      <c r="URB10" s="731"/>
      <c r="URF10" s="731"/>
      <c r="URJ10" s="731"/>
      <c r="URN10" s="731"/>
      <c r="URR10" s="731"/>
      <c r="URV10" s="731"/>
      <c r="URZ10" s="731"/>
      <c r="USD10" s="731"/>
      <c r="USH10" s="731"/>
      <c r="USL10" s="731"/>
      <c r="USP10" s="731"/>
      <c r="UST10" s="731"/>
      <c r="USX10" s="731"/>
      <c r="UTB10" s="731"/>
      <c r="UTF10" s="731"/>
      <c r="UTJ10" s="731"/>
      <c r="UTN10" s="731"/>
      <c r="UTR10" s="731"/>
      <c r="UTV10" s="731"/>
      <c r="UTZ10" s="731"/>
      <c r="UUD10" s="731"/>
      <c r="UUH10" s="731"/>
      <c r="UUL10" s="731"/>
      <c r="UUP10" s="731"/>
      <c r="UUT10" s="731"/>
      <c r="UUX10" s="731"/>
      <c r="UVB10" s="731"/>
      <c r="UVF10" s="731"/>
      <c r="UVJ10" s="731"/>
      <c r="UVN10" s="731"/>
      <c r="UVR10" s="731"/>
      <c r="UVV10" s="731"/>
      <c r="UVZ10" s="731"/>
      <c r="UWD10" s="731"/>
      <c r="UWH10" s="731"/>
      <c r="UWL10" s="731"/>
      <c r="UWP10" s="731"/>
      <c r="UWT10" s="731"/>
      <c r="UWX10" s="731"/>
      <c r="UXB10" s="731"/>
      <c r="UXF10" s="731"/>
      <c r="UXJ10" s="731"/>
      <c r="UXN10" s="731"/>
      <c r="UXR10" s="731"/>
      <c r="UXV10" s="731"/>
      <c r="UXZ10" s="731"/>
      <c r="UYD10" s="731"/>
      <c r="UYH10" s="731"/>
      <c r="UYL10" s="731"/>
      <c r="UYP10" s="731"/>
      <c r="UYT10" s="731"/>
      <c r="UYX10" s="731"/>
      <c r="UZB10" s="731"/>
      <c r="UZF10" s="731"/>
      <c r="UZJ10" s="731"/>
      <c r="UZN10" s="731"/>
      <c r="UZR10" s="731"/>
      <c r="UZV10" s="731"/>
      <c r="UZZ10" s="731"/>
      <c r="VAD10" s="731"/>
      <c r="VAH10" s="731"/>
      <c r="VAL10" s="731"/>
      <c r="VAP10" s="731"/>
      <c r="VAT10" s="731"/>
      <c r="VAX10" s="731"/>
      <c r="VBB10" s="731"/>
      <c r="VBF10" s="731"/>
      <c r="VBJ10" s="731"/>
      <c r="VBN10" s="731"/>
      <c r="VBR10" s="731"/>
      <c r="VBV10" s="731"/>
      <c r="VBZ10" s="731"/>
      <c r="VCD10" s="731"/>
      <c r="VCH10" s="731"/>
      <c r="VCL10" s="731"/>
      <c r="VCP10" s="731"/>
      <c r="VCT10" s="731"/>
      <c r="VCX10" s="731"/>
      <c r="VDB10" s="731"/>
      <c r="VDF10" s="731"/>
      <c r="VDJ10" s="731"/>
      <c r="VDN10" s="731"/>
      <c r="VDR10" s="731"/>
      <c r="VDV10" s="731"/>
      <c r="VDZ10" s="731"/>
      <c r="VED10" s="731"/>
      <c r="VEH10" s="731"/>
      <c r="VEL10" s="731"/>
      <c r="VEP10" s="731"/>
      <c r="VET10" s="731"/>
      <c r="VEX10" s="731"/>
      <c r="VFB10" s="731"/>
      <c r="VFF10" s="731"/>
      <c r="VFJ10" s="731"/>
      <c r="VFN10" s="731"/>
      <c r="VFR10" s="731"/>
      <c r="VFV10" s="731"/>
      <c r="VFZ10" s="731"/>
      <c r="VGD10" s="731"/>
      <c r="VGH10" s="731"/>
      <c r="VGL10" s="731"/>
      <c r="VGP10" s="731"/>
      <c r="VGT10" s="731"/>
      <c r="VGX10" s="731"/>
      <c r="VHB10" s="731"/>
      <c r="VHF10" s="731"/>
      <c r="VHJ10" s="731"/>
      <c r="VHN10" s="731"/>
      <c r="VHR10" s="731"/>
      <c r="VHV10" s="731"/>
      <c r="VHZ10" s="731"/>
      <c r="VID10" s="731"/>
      <c r="VIH10" s="731"/>
      <c r="VIL10" s="731"/>
      <c r="VIP10" s="731"/>
      <c r="VIT10" s="731"/>
      <c r="VIX10" s="731"/>
      <c r="VJB10" s="731"/>
      <c r="VJF10" s="731"/>
      <c r="VJJ10" s="731"/>
      <c r="VJN10" s="731"/>
      <c r="VJR10" s="731"/>
      <c r="VJV10" s="731"/>
      <c r="VJZ10" s="731"/>
      <c r="VKD10" s="731"/>
      <c r="VKH10" s="731"/>
      <c r="VKL10" s="731"/>
      <c r="VKP10" s="731"/>
      <c r="VKT10" s="731"/>
      <c r="VKX10" s="731"/>
      <c r="VLB10" s="731"/>
      <c r="VLF10" s="731"/>
      <c r="VLJ10" s="731"/>
      <c r="VLN10" s="731"/>
      <c r="VLR10" s="731"/>
      <c r="VLV10" s="731"/>
      <c r="VLZ10" s="731"/>
      <c r="VMD10" s="731"/>
      <c r="VMH10" s="731"/>
      <c r="VML10" s="731"/>
      <c r="VMP10" s="731"/>
      <c r="VMT10" s="731"/>
      <c r="VMX10" s="731"/>
      <c r="VNB10" s="731"/>
      <c r="VNF10" s="731"/>
      <c r="VNJ10" s="731"/>
      <c r="VNN10" s="731"/>
      <c r="VNR10" s="731"/>
      <c r="VNV10" s="731"/>
      <c r="VNZ10" s="731"/>
      <c r="VOD10" s="731"/>
      <c r="VOH10" s="731"/>
      <c r="VOL10" s="731"/>
      <c r="VOP10" s="731"/>
      <c r="VOT10" s="731"/>
      <c r="VOX10" s="731"/>
      <c r="VPB10" s="731"/>
      <c r="VPF10" s="731"/>
      <c r="VPJ10" s="731"/>
      <c r="VPN10" s="731"/>
      <c r="VPR10" s="731"/>
      <c r="VPV10" s="731"/>
      <c r="VPZ10" s="731"/>
      <c r="VQD10" s="731"/>
      <c r="VQH10" s="731"/>
      <c r="VQL10" s="731"/>
      <c r="VQP10" s="731"/>
      <c r="VQT10" s="731"/>
      <c r="VQX10" s="731"/>
      <c r="VRB10" s="731"/>
      <c r="VRF10" s="731"/>
      <c r="VRJ10" s="731"/>
      <c r="VRN10" s="731"/>
      <c r="VRR10" s="731"/>
      <c r="VRV10" s="731"/>
      <c r="VRZ10" s="731"/>
      <c r="VSD10" s="731"/>
      <c r="VSH10" s="731"/>
      <c r="VSL10" s="731"/>
      <c r="VSP10" s="731"/>
      <c r="VST10" s="731"/>
      <c r="VSX10" s="731"/>
      <c r="VTB10" s="731"/>
      <c r="VTF10" s="731"/>
      <c r="VTJ10" s="731"/>
      <c r="VTN10" s="731"/>
      <c r="VTR10" s="731"/>
      <c r="VTV10" s="731"/>
      <c r="VTZ10" s="731"/>
      <c r="VUD10" s="731"/>
      <c r="VUH10" s="731"/>
      <c r="VUL10" s="731"/>
      <c r="VUP10" s="731"/>
      <c r="VUT10" s="731"/>
      <c r="VUX10" s="731"/>
      <c r="VVB10" s="731"/>
      <c r="VVF10" s="731"/>
      <c r="VVJ10" s="731"/>
      <c r="VVN10" s="731"/>
      <c r="VVR10" s="731"/>
      <c r="VVV10" s="731"/>
      <c r="VVZ10" s="731"/>
      <c r="VWD10" s="731"/>
      <c r="VWH10" s="731"/>
      <c r="VWL10" s="731"/>
      <c r="VWP10" s="731"/>
      <c r="VWT10" s="731"/>
      <c r="VWX10" s="731"/>
      <c r="VXB10" s="731"/>
      <c r="VXF10" s="731"/>
      <c r="VXJ10" s="731"/>
      <c r="VXN10" s="731"/>
      <c r="VXR10" s="731"/>
      <c r="VXV10" s="731"/>
      <c r="VXZ10" s="731"/>
      <c r="VYD10" s="731"/>
      <c r="VYH10" s="731"/>
      <c r="VYL10" s="731"/>
      <c r="VYP10" s="731"/>
      <c r="VYT10" s="731"/>
      <c r="VYX10" s="731"/>
      <c r="VZB10" s="731"/>
      <c r="VZF10" s="731"/>
      <c r="VZJ10" s="731"/>
      <c r="VZN10" s="731"/>
      <c r="VZR10" s="731"/>
      <c r="VZV10" s="731"/>
      <c r="VZZ10" s="731"/>
      <c r="WAD10" s="731"/>
      <c r="WAH10" s="731"/>
      <c r="WAL10" s="731"/>
      <c r="WAP10" s="731"/>
      <c r="WAT10" s="731"/>
      <c r="WAX10" s="731"/>
      <c r="WBB10" s="731"/>
      <c r="WBF10" s="731"/>
      <c r="WBJ10" s="731"/>
      <c r="WBN10" s="731"/>
      <c r="WBR10" s="731"/>
      <c r="WBV10" s="731"/>
      <c r="WBZ10" s="731"/>
      <c r="WCD10" s="731"/>
      <c r="WCH10" s="731"/>
      <c r="WCL10" s="731"/>
      <c r="WCP10" s="731"/>
      <c r="WCT10" s="731"/>
      <c r="WCX10" s="731"/>
      <c r="WDB10" s="731"/>
      <c r="WDF10" s="731"/>
      <c r="WDJ10" s="731"/>
      <c r="WDN10" s="731"/>
      <c r="WDR10" s="731"/>
      <c r="WDV10" s="731"/>
      <c r="WDZ10" s="731"/>
      <c r="WED10" s="731"/>
      <c r="WEH10" s="731"/>
      <c r="WEL10" s="731"/>
      <c r="WEP10" s="731"/>
      <c r="WET10" s="731"/>
      <c r="WEX10" s="731"/>
      <c r="WFB10" s="731"/>
      <c r="WFF10" s="731"/>
      <c r="WFJ10" s="731"/>
      <c r="WFN10" s="731"/>
      <c r="WFR10" s="731"/>
      <c r="WFV10" s="731"/>
      <c r="WFZ10" s="731"/>
      <c r="WGD10" s="731"/>
      <c r="WGH10" s="731"/>
      <c r="WGL10" s="731"/>
      <c r="WGP10" s="731"/>
      <c r="WGT10" s="731"/>
      <c r="WGX10" s="731"/>
      <c r="WHB10" s="731"/>
      <c r="WHF10" s="731"/>
      <c r="WHJ10" s="731"/>
      <c r="WHN10" s="731"/>
      <c r="WHR10" s="731"/>
      <c r="WHV10" s="731"/>
      <c r="WHZ10" s="731"/>
      <c r="WID10" s="731"/>
      <c r="WIH10" s="731"/>
      <c r="WIL10" s="731"/>
      <c r="WIP10" s="731"/>
      <c r="WIT10" s="731"/>
      <c r="WIX10" s="731"/>
      <c r="WJB10" s="731"/>
      <c r="WJF10" s="731"/>
      <c r="WJJ10" s="731"/>
      <c r="WJN10" s="731"/>
      <c r="WJR10" s="731"/>
      <c r="WJV10" s="731"/>
      <c r="WJZ10" s="731"/>
      <c r="WKD10" s="731"/>
      <c r="WKH10" s="731"/>
      <c r="WKL10" s="731"/>
      <c r="WKP10" s="731"/>
      <c r="WKT10" s="731"/>
      <c r="WKX10" s="731"/>
      <c r="WLB10" s="731"/>
      <c r="WLF10" s="731"/>
      <c r="WLJ10" s="731"/>
      <c r="WLN10" s="731"/>
      <c r="WLR10" s="731"/>
      <c r="WLV10" s="731"/>
      <c r="WLZ10" s="731"/>
      <c r="WMD10" s="731"/>
      <c r="WMH10" s="731"/>
      <c r="WML10" s="731"/>
      <c r="WMP10" s="731"/>
      <c r="WMT10" s="731"/>
      <c r="WMX10" s="731"/>
      <c r="WNB10" s="731"/>
      <c r="WNF10" s="731"/>
      <c r="WNJ10" s="731"/>
      <c r="WNN10" s="731"/>
      <c r="WNR10" s="731"/>
      <c r="WNV10" s="731"/>
      <c r="WNZ10" s="731"/>
      <c r="WOD10" s="731"/>
      <c r="WOH10" s="731"/>
      <c r="WOL10" s="731"/>
      <c r="WOP10" s="731"/>
      <c r="WOT10" s="731"/>
      <c r="WOX10" s="731"/>
      <c r="WPB10" s="731"/>
      <c r="WPF10" s="731"/>
      <c r="WPJ10" s="731"/>
      <c r="WPN10" s="731"/>
      <c r="WPR10" s="731"/>
      <c r="WPV10" s="731"/>
      <c r="WPZ10" s="731"/>
      <c r="WQD10" s="731"/>
      <c r="WQH10" s="731"/>
      <c r="WQL10" s="731"/>
      <c r="WQP10" s="731"/>
      <c r="WQT10" s="731"/>
      <c r="WQX10" s="731"/>
      <c r="WRB10" s="731"/>
      <c r="WRF10" s="731"/>
      <c r="WRJ10" s="731"/>
      <c r="WRN10" s="731"/>
      <c r="WRR10" s="731"/>
      <c r="WRV10" s="731"/>
      <c r="WRZ10" s="731"/>
      <c r="WSD10" s="731"/>
      <c r="WSH10" s="731"/>
      <c r="WSL10" s="731"/>
      <c r="WSP10" s="731"/>
      <c r="WST10" s="731"/>
      <c r="WSX10" s="731"/>
      <c r="WTB10" s="731"/>
      <c r="WTF10" s="731"/>
      <c r="WTJ10" s="731"/>
      <c r="WTN10" s="731"/>
      <c r="WTR10" s="731"/>
      <c r="WTV10" s="731"/>
      <c r="WTZ10" s="731"/>
      <c r="WUD10" s="731"/>
      <c r="WUH10" s="731"/>
      <c r="WUL10" s="731"/>
      <c r="WUP10" s="731"/>
      <c r="WUT10" s="731"/>
      <c r="WUX10" s="731"/>
      <c r="WVB10" s="731"/>
      <c r="WVF10" s="731"/>
      <c r="WVJ10" s="731"/>
      <c r="WVN10" s="731"/>
      <c r="WVR10" s="731"/>
      <c r="WVV10" s="731"/>
      <c r="WVZ10" s="731"/>
      <c r="WWD10" s="731"/>
      <c r="WWH10" s="731"/>
      <c r="WWL10" s="731"/>
      <c r="WWP10" s="731"/>
      <c r="WWT10" s="731"/>
      <c r="WWX10" s="731"/>
      <c r="WXB10" s="731"/>
      <c r="WXF10" s="731"/>
      <c r="WXJ10" s="731"/>
      <c r="WXN10" s="731"/>
      <c r="WXR10" s="731"/>
      <c r="WXV10" s="731"/>
      <c r="WXZ10" s="731"/>
      <c r="WYD10" s="731"/>
      <c r="WYH10" s="731"/>
      <c r="WYL10" s="731"/>
      <c r="WYP10" s="731"/>
      <c r="WYT10" s="731"/>
      <c r="WYX10" s="731"/>
      <c r="WZB10" s="731"/>
      <c r="WZF10" s="731"/>
      <c r="WZJ10" s="731"/>
      <c r="WZN10" s="731"/>
      <c r="WZR10" s="731"/>
      <c r="WZV10" s="731"/>
      <c r="WZZ10" s="731"/>
      <c r="XAD10" s="731"/>
      <c r="XAH10" s="731"/>
      <c r="XAL10" s="731"/>
      <c r="XAP10" s="731"/>
      <c r="XAT10" s="731"/>
      <c r="XAX10" s="731"/>
      <c r="XBB10" s="731"/>
      <c r="XBF10" s="731"/>
      <c r="XBJ10" s="731"/>
      <c r="XBN10" s="731"/>
      <c r="XBR10" s="731"/>
      <c r="XBV10" s="731"/>
      <c r="XBZ10" s="731"/>
      <c r="XCD10" s="731"/>
      <c r="XCH10" s="731"/>
      <c r="XCL10" s="731"/>
      <c r="XCP10" s="731"/>
      <c r="XCT10" s="731"/>
      <c r="XCX10" s="731"/>
      <c r="XDB10" s="731"/>
      <c r="XDF10" s="731"/>
      <c r="XDJ10" s="731"/>
      <c r="XDN10" s="731"/>
      <c r="XDR10" s="731"/>
      <c r="XDV10" s="731"/>
      <c r="XDZ10" s="731"/>
      <c r="XED10" s="731"/>
      <c r="XEH10" s="731"/>
      <c r="XEL10" s="731"/>
      <c r="XEP10" s="731"/>
      <c r="XET10" s="731"/>
      <c r="XEX10" s="731"/>
      <c r="XFB10" s="731"/>
    </row>
    <row r="11" spans="1:1022 1026:2046 2050:3070 3074:4094 4098:5118 5122:6142 6146:7166 7170:8190 8194:9214 9218:10238 10242:11262 11266:12286 12290:13310 13314:14334 14338:15358 15362:16382" s="730" customFormat="1" ht="127.5" customHeight="1">
      <c r="A11" s="148"/>
      <c r="B11" s="719" t="s">
        <v>574</v>
      </c>
      <c r="C11" s="994" t="s">
        <v>1410</v>
      </c>
      <c r="D11" s="994"/>
      <c r="E11" s="994"/>
      <c r="F11" s="994"/>
      <c r="G11" s="994"/>
      <c r="H11" s="994"/>
      <c r="I11" s="994"/>
      <c r="N11" s="731"/>
      <c r="R11" s="731"/>
      <c r="V11" s="731"/>
      <c r="Z11" s="731"/>
      <c r="AD11" s="731"/>
      <c r="AH11" s="731"/>
      <c r="AL11" s="731"/>
      <c r="AP11" s="731"/>
      <c r="AT11" s="731"/>
      <c r="AX11" s="731"/>
      <c r="BB11" s="731"/>
      <c r="BF11" s="731"/>
      <c r="BJ11" s="731"/>
      <c r="BN11" s="731"/>
      <c r="BR11" s="731"/>
      <c r="BV11" s="731"/>
      <c r="BZ11" s="731"/>
      <c r="CD11" s="731"/>
      <c r="CH11" s="731"/>
      <c r="CL11" s="731"/>
      <c r="CP11" s="731"/>
      <c r="CT11" s="731"/>
      <c r="CX11" s="731"/>
      <c r="DB11" s="731"/>
      <c r="DF11" s="731"/>
      <c r="DJ11" s="731"/>
      <c r="DN11" s="731"/>
      <c r="DR11" s="731"/>
      <c r="DV11" s="731"/>
      <c r="DZ11" s="731"/>
      <c r="ED11" s="731"/>
      <c r="EH11" s="731"/>
      <c r="EL11" s="731"/>
      <c r="EP11" s="731"/>
      <c r="ET11" s="731"/>
      <c r="EX11" s="731"/>
      <c r="FB11" s="731"/>
      <c r="FF11" s="731"/>
      <c r="FJ11" s="731"/>
      <c r="FN11" s="731"/>
      <c r="FR11" s="731"/>
      <c r="FV11" s="731"/>
      <c r="FZ11" s="731"/>
      <c r="GD11" s="731"/>
      <c r="GH11" s="731"/>
      <c r="GL11" s="731"/>
      <c r="GP11" s="731"/>
      <c r="GT11" s="731"/>
      <c r="GX11" s="731"/>
      <c r="HB11" s="731"/>
      <c r="HF11" s="731"/>
      <c r="HJ11" s="731"/>
      <c r="HN11" s="731"/>
      <c r="HR11" s="731"/>
      <c r="HV11" s="731"/>
      <c r="HZ11" s="731"/>
      <c r="ID11" s="731"/>
      <c r="IH11" s="731"/>
      <c r="IL11" s="731"/>
      <c r="IP11" s="731"/>
      <c r="IT11" s="731"/>
      <c r="IX11" s="731"/>
      <c r="JB11" s="731"/>
      <c r="JF11" s="731"/>
      <c r="JJ11" s="731"/>
      <c r="JN11" s="731"/>
      <c r="JR11" s="731"/>
      <c r="JV11" s="731"/>
      <c r="JZ11" s="731"/>
      <c r="KD11" s="731"/>
      <c r="KH11" s="731"/>
      <c r="KL11" s="731"/>
      <c r="KP11" s="731"/>
      <c r="KT11" s="731"/>
      <c r="KX11" s="731"/>
      <c r="LB11" s="731"/>
      <c r="LF11" s="731"/>
      <c r="LJ11" s="731"/>
      <c r="LN11" s="731"/>
      <c r="LR11" s="731"/>
      <c r="LV11" s="731"/>
      <c r="LZ11" s="731"/>
      <c r="MD11" s="731"/>
      <c r="MH11" s="731"/>
      <c r="ML11" s="731"/>
      <c r="MP11" s="731"/>
      <c r="MT11" s="731"/>
      <c r="MX11" s="731"/>
      <c r="NB11" s="731"/>
      <c r="NF11" s="731"/>
      <c r="NJ11" s="731"/>
      <c r="NN11" s="731"/>
      <c r="NR11" s="731"/>
      <c r="NV11" s="731"/>
      <c r="NZ11" s="731"/>
      <c r="OD11" s="731"/>
      <c r="OH11" s="731"/>
      <c r="OL11" s="731"/>
      <c r="OP11" s="731"/>
      <c r="OT11" s="731"/>
      <c r="OX11" s="731"/>
      <c r="PB11" s="731"/>
      <c r="PF11" s="731"/>
      <c r="PJ11" s="731"/>
      <c r="PN11" s="731"/>
      <c r="PR11" s="731"/>
      <c r="PV11" s="731"/>
      <c r="PZ11" s="731"/>
      <c r="QD11" s="731"/>
      <c r="QH11" s="731"/>
      <c r="QL11" s="731"/>
      <c r="QP11" s="731"/>
      <c r="QT11" s="731"/>
      <c r="QX11" s="731"/>
      <c r="RB11" s="731"/>
      <c r="RF11" s="731"/>
      <c r="RJ11" s="731"/>
      <c r="RN11" s="731"/>
      <c r="RR11" s="731"/>
      <c r="RV11" s="731"/>
      <c r="RZ11" s="731"/>
      <c r="SD11" s="731"/>
      <c r="SH11" s="731"/>
      <c r="SL11" s="731"/>
      <c r="SP11" s="731"/>
      <c r="ST11" s="731"/>
      <c r="SX11" s="731"/>
      <c r="TB11" s="731"/>
      <c r="TF11" s="731"/>
      <c r="TJ11" s="731"/>
      <c r="TN11" s="731"/>
      <c r="TR11" s="731"/>
      <c r="TV11" s="731"/>
      <c r="TZ11" s="731"/>
      <c r="UD11" s="731"/>
      <c r="UH11" s="731"/>
      <c r="UL11" s="731"/>
      <c r="UP11" s="731"/>
      <c r="UT11" s="731"/>
      <c r="UX11" s="731"/>
      <c r="VB11" s="731"/>
      <c r="VF11" s="731"/>
      <c r="VJ11" s="731"/>
      <c r="VN11" s="731"/>
      <c r="VR11" s="731"/>
      <c r="VV11" s="731"/>
      <c r="VZ11" s="731"/>
      <c r="WD11" s="731"/>
      <c r="WH11" s="731"/>
      <c r="WL11" s="731"/>
      <c r="WP11" s="731"/>
      <c r="WT11" s="731"/>
      <c r="WX11" s="731"/>
      <c r="XB11" s="731"/>
      <c r="XF11" s="731"/>
      <c r="XJ11" s="731"/>
      <c r="XN11" s="731"/>
      <c r="XR11" s="731"/>
      <c r="XV11" s="731"/>
      <c r="XZ11" s="731"/>
      <c r="YD11" s="731"/>
      <c r="YH11" s="731"/>
      <c r="YL11" s="731"/>
      <c r="YP11" s="731"/>
      <c r="YT11" s="731"/>
      <c r="YX11" s="731"/>
      <c r="ZB11" s="731"/>
      <c r="ZF11" s="731"/>
      <c r="ZJ11" s="731"/>
      <c r="ZN11" s="731"/>
      <c r="ZR11" s="731"/>
      <c r="ZV11" s="731"/>
      <c r="ZZ11" s="731"/>
      <c r="AAD11" s="731"/>
      <c r="AAH11" s="731"/>
      <c r="AAL11" s="731"/>
      <c r="AAP11" s="731"/>
      <c r="AAT11" s="731"/>
      <c r="AAX11" s="731"/>
      <c r="ABB11" s="731"/>
      <c r="ABF11" s="731"/>
      <c r="ABJ11" s="731"/>
      <c r="ABN11" s="731"/>
      <c r="ABR11" s="731"/>
      <c r="ABV11" s="731"/>
      <c r="ABZ11" s="731"/>
      <c r="ACD11" s="731"/>
      <c r="ACH11" s="731"/>
      <c r="ACL11" s="731"/>
      <c r="ACP11" s="731"/>
      <c r="ACT11" s="731"/>
      <c r="ACX11" s="731"/>
      <c r="ADB11" s="731"/>
      <c r="ADF11" s="731"/>
      <c r="ADJ11" s="731"/>
      <c r="ADN11" s="731"/>
      <c r="ADR11" s="731"/>
      <c r="ADV11" s="731"/>
      <c r="ADZ11" s="731"/>
      <c r="AED11" s="731"/>
      <c r="AEH11" s="731"/>
      <c r="AEL11" s="731"/>
      <c r="AEP11" s="731"/>
      <c r="AET11" s="731"/>
      <c r="AEX11" s="731"/>
      <c r="AFB11" s="731"/>
      <c r="AFF11" s="731"/>
      <c r="AFJ11" s="731"/>
      <c r="AFN11" s="731"/>
      <c r="AFR11" s="731"/>
      <c r="AFV11" s="731"/>
      <c r="AFZ11" s="731"/>
      <c r="AGD11" s="731"/>
      <c r="AGH11" s="731"/>
      <c r="AGL11" s="731"/>
      <c r="AGP11" s="731"/>
      <c r="AGT11" s="731"/>
      <c r="AGX11" s="731"/>
      <c r="AHB11" s="731"/>
      <c r="AHF11" s="731"/>
      <c r="AHJ11" s="731"/>
      <c r="AHN11" s="731"/>
      <c r="AHR11" s="731"/>
      <c r="AHV11" s="731"/>
      <c r="AHZ11" s="731"/>
      <c r="AID11" s="731"/>
      <c r="AIH11" s="731"/>
      <c r="AIL11" s="731"/>
      <c r="AIP11" s="731"/>
      <c r="AIT11" s="731"/>
      <c r="AIX11" s="731"/>
      <c r="AJB11" s="731"/>
      <c r="AJF11" s="731"/>
      <c r="AJJ11" s="731"/>
      <c r="AJN11" s="731"/>
      <c r="AJR11" s="731"/>
      <c r="AJV11" s="731"/>
      <c r="AJZ11" s="731"/>
      <c r="AKD11" s="731"/>
      <c r="AKH11" s="731"/>
      <c r="AKL11" s="731"/>
      <c r="AKP11" s="731"/>
      <c r="AKT11" s="731"/>
      <c r="AKX11" s="731"/>
      <c r="ALB11" s="731"/>
      <c r="ALF11" s="731"/>
      <c r="ALJ11" s="731"/>
      <c r="ALN11" s="731"/>
      <c r="ALR11" s="731"/>
      <c r="ALV11" s="731"/>
      <c r="ALZ11" s="731"/>
      <c r="AMD11" s="731"/>
      <c r="AMH11" s="731"/>
      <c r="AML11" s="731"/>
      <c r="AMP11" s="731"/>
      <c r="AMT11" s="731"/>
      <c r="AMX11" s="731"/>
      <c r="ANB11" s="731"/>
      <c r="ANF11" s="731"/>
      <c r="ANJ11" s="731"/>
      <c r="ANN11" s="731"/>
      <c r="ANR11" s="731"/>
      <c r="ANV11" s="731"/>
      <c r="ANZ11" s="731"/>
      <c r="AOD11" s="731"/>
      <c r="AOH11" s="731"/>
      <c r="AOL11" s="731"/>
      <c r="AOP11" s="731"/>
      <c r="AOT11" s="731"/>
      <c r="AOX11" s="731"/>
      <c r="APB11" s="731"/>
      <c r="APF11" s="731"/>
      <c r="APJ11" s="731"/>
      <c r="APN11" s="731"/>
      <c r="APR11" s="731"/>
      <c r="APV11" s="731"/>
      <c r="APZ11" s="731"/>
      <c r="AQD11" s="731"/>
      <c r="AQH11" s="731"/>
      <c r="AQL11" s="731"/>
      <c r="AQP11" s="731"/>
      <c r="AQT11" s="731"/>
      <c r="AQX11" s="731"/>
      <c r="ARB11" s="731"/>
      <c r="ARF11" s="731"/>
      <c r="ARJ11" s="731"/>
      <c r="ARN11" s="731"/>
      <c r="ARR11" s="731"/>
      <c r="ARV11" s="731"/>
      <c r="ARZ11" s="731"/>
      <c r="ASD11" s="731"/>
      <c r="ASH11" s="731"/>
      <c r="ASL11" s="731"/>
      <c r="ASP11" s="731"/>
      <c r="AST11" s="731"/>
      <c r="ASX11" s="731"/>
      <c r="ATB11" s="731"/>
      <c r="ATF11" s="731"/>
      <c r="ATJ11" s="731"/>
      <c r="ATN11" s="731"/>
      <c r="ATR11" s="731"/>
      <c r="ATV11" s="731"/>
      <c r="ATZ11" s="731"/>
      <c r="AUD11" s="731"/>
      <c r="AUH11" s="731"/>
      <c r="AUL11" s="731"/>
      <c r="AUP11" s="731"/>
      <c r="AUT11" s="731"/>
      <c r="AUX11" s="731"/>
      <c r="AVB11" s="731"/>
      <c r="AVF11" s="731"/>
      <c r="AVJ11" s="731"/>
      <c r="AVN11" s="731"/>
      <c r="AVR11" s="731"/>
      <c r="AVV11" s="731"/>
      <c r="AVZ11" s="731"/>
      <c r="AWD11" s="731"/>
      <c r="AWH11" s="731"/>
      <c r="AWL11" s="731"/>
      <c r="AWP11" s="731"/>
      <c r="AWT11" s="731"/>
      <c r="AWX11" s="731"/>
      <c r="AXB11" s="731"/>
      <c r="AXF11" s="731"/>
      <c r="AXJ11" s="731"/>
      <c r="AXN11" s="731"/>
      <c r="AXR11" s="731"/>
      <c r="AXV11" s="731"/>
      <c r="AXZ11" s="731"/>
      <c r="AYD11" s="731"/>
      <c r="AYH11" s="731"/>
      <c r="AYL11" s="731"/>
      <c r="AYP11" s="731"/>
      <c r="AYT11" s="731"/>
      <c r="AYX11" s="731"/>
      <c r="AZB11" s="731"/>
      <c r="AZF11" s="731"/>
      <c r="AZJ11" s="731"/>
      <c r="AZN11" s="731"/>
      <c r="AZR11" s="731"/>
      <c r="AZV11" s="731"/>
      <c r="AZZ11" s="731"/>
      <c r="BAD11" s="731"/>
      <c r="BAH11" s="731"/>
      <c r="BAL11" s="731"/>
      <c r="BAP11" s="731"/>
      <c r="BAT11" s="731"/>
      <c r="BAX11" s="731"/>
      <c r="BBB11" s="731"/>
      <c r="BBF11" s="731"/>
      <c r="BBJ11" s="731"/>
      <c r="BBN11" s="731"/>
      <c r="BBR11" s="731"/>
      <c r="BBV11" s="731"/>
      <c r="BBZ11" s="731"/>
      <c r="BCD11" s="731"/>
      <c r="BCH11" s="731"/>
      <c r="BCL11" s="731"/>
      <c r="BCP11" s="731"/>
      <c r="BCT11" s="731"/>
      <c r="BCX11" s="731"/>
      <c r="BDB11" s="731"/>
      <c r="BDF11" s="731"/>
      <c r="BDJ11" s="731"/>
      <c r="BDN11" s="731"/>
      <c r="BDR11" s="731"/>
      <c r="BDV11" s="731"/>
      <c r="BDZ11" s="731"/>
      <c r="BED11" s="731"/>
      <c r="BEH11" s="731"/>
      <c r="BEL11" s="731"/>
      <c r="BEP11" s="731"/>
      <c r="BET11" s="731"/>
      <c r="BEX11" s="731"/>
      <c r="BFB11" s="731"/>
      <c r="BFF11" s="731"/>
      <c r="BFJ11" s="731"/>
      <c r="BFN11" s="731"/>
      <c r="BFR11" s="731"/>
      <c r="BFV11" s="731"/>
      <c r="BFZ11" s="731"/>
      <c r="BGD11" s="731"/>
      <c r="BGH11" s="731"/>
      <c r="BGL11" s="731"/>
      <c r="BGP11" s="731"/>
      <c r="BGT11" s="731"/>
      <c r="BGX11" s="731"/>
      <c r="BHB11" s="731"/>
      <c r="BHF11" s="731"/>
      <c r="BHJ11" s="731"/>
      <c r="BHN11" s="731"/>
      <c r="BHR11" s="731"/>
      <c r="BHV11" s="731"/>
      <c r="BHZ11" s="731"/>
      <c r="BID11" s="731"/>
      <c r="BIH11" s="731"/>
      <c r="BIL11" s="731"/>
      <c r="BIP11" s="731"/>
      <c r="BIT11" s="731"/>
      <c r="BIX11" s="731"/>
      <c r="BJB11" s="731"/>
      <c r="BJF11" s="731"/>
      <c r="BJJ11" s="731"/>
      <c r="BJN11" s="731"/>
      <c r="BJR11" s="731"/>
      <c r="BJV11" s="731"/>
      <c r="BJZ11" s="731"/>
      <c r="BKD11" s="731"/>
      <c r="BKH11" s="731"/>
      <c r="BKL11" s="731"/>
      <c r="BKP11" s="731"/>
      <c r="BKT11" s="731"/>
      <c r="BKX11" s="731"/>
      <c r="BLB11" s="731"/>
      <c r="BLF11" s="731"/>
      <c r="BLJ11" s="731"/>
      <c r="BLN11" s="731"/>
      <c r="BLR11" s="731"/>
      <c r="BLV11" s="731"/>
      <c r="BLZ11" s="731"/>
      <c r="BMD11" s="731"/>
      <c r="BMH11" s="731"/>
      <c r="BML11" s="731"/>
      <c r="BMP11" s="731"/>
      <c r="BMT11" s="731"/>
      <c r="BMX11" s="731"/>
      <c r="BNB11" s="731"/>
      <c r="BNF11" s="731"/>
      <c r="BNJ11" s="731"/>
      <c r="BNN11" s="731"/>
      <c r="BNR11" s="731"/>
      <c r="BNV11" s="731"/>
      <c r="BNZ11" s="731"/>
      <c r="BOD11" s="731"/>
      <c r="BOH11" s="731"/>
      <c r="BOL11" s="731"/>
      <c r="BOP11" s="731"/>
      <c r="BOT11" s="731"/>
      <c r="BOX11" s="731"/>
      <c r="BPB11" s="731"/>
      <c r="BPF11" s="731"/>
      <c r="BPJ11" s="731"/>
      <c r="BPN11" s="731"/>
      <c r="BPR11" s="731"/>
      <c r="BPV11" s="731"/>
      <c r="BPZ11" s="731"/>
      <c r="BQD11" s="731"/>
      <c r="BQH11" s="731"/>
      <c r="BQL11" s="731"/>
      <c r="BQP11" s="731"/>
      <c r="BQT11" s="731"/>
      <c r="BQX11" s="731"/>
      <c r="BRB11" s="731"/>
      <c r="BRF11" s="731"/>
      <c r="BRJ11" s="731"/>
      <c r="BRN11" s="731"/>
      <c r="BRR11" s="731"/>
      <c r="BRV11" s="731"/>
      <c r="BRZ11" s="731"/>
      <c r="BSD11" s="731"/>
      <c r="BSH11" s="731"/>
      <c r="BSL11" s="731"/>
      <c r="BSP11" s="731"/>
      <c r="BST11" s="731"/>
      <c r="BSX11" s="731"/>
      <c r="BTB11" s="731"/>
      <c r="BTF11" s="731"/>
      <c r="BTJ11" s="731"/>
      <c r="BTN11" s="731"/>
      <c r="BTR11" s="731"/>
      <c r="BTV11" s="731"/>
      <c r="BTZ11" s="731"/>
      <c r="BUD11" s="731"/>
      <c r="BUH11" s="731"/>
      <c r="BUL11" s="731"/>
      <c r="BUP11" s="731"/>
      <c r="BUT11" s="731"/>
      <c r="BUX11" s="731"/>
      <c r="BVB11" s="731"/>
      <c r="BVF11" s="731"/>
      <c r="BVJ11" s="731"/>
      <c r="BVN11" s="731"/>
      <c r="BVR11" s="731"/>
      <c r="BVV11" s="731"/>
      <c r="BVZ11" s="731"/>
      <c r="BWD11" s="731"/>
      <c r="BWH11" s="731"/>
      <c r="BWL11" s="731"/>
      <c r="BWP11" s="731"/>
      <c r="BWT11" s="731"/>
      <c r="BWX11" s="731"/>
      <c r="BXB11" s="731"/>
      <c r="BXF11" s="731"/>
      <c r="BXJ11" s="731"/>
      <c r="BXN11" s="731"/>
      <c r="BXR11" s="731"/>
      <c r="BXV11" s="731"/>
      <c r="BXZ11" s="731"/>
      <c r="BYD11" s="731"/>
      <c r="BYH11" s="731"/>
      <c r="BYL11" s="731"/>
      <c r="BYP11" s="731"/>
      <c r="BYT11" s="731"/>
      <c r="BYX11" s="731"/>
      <c r="BZB11" s="731"/>
      <c r="BZF11" s="731"/>
      <c r="BZJ11" s="731"/>
      <c r="BZN11" s="731"/>
      <c r="BZR11" s="731"/>
      <c r="BZV11" s="731"/>
      <c r="BZZ11" s="731"/>
      <c r="CAD11" s="731"/>
      <c r="CAH11" s="731"/>
      <c r="CAL11" s="731"/>
      <c r="CAP11" s="731"/>
      <c r="CAT11" s="731"/>
      <c r="CAX11" s="731"/>
      <c r="CBB11" s="731"/>
      <c r="CBF11" s="731"/>
      <c r="CBJ11" s="731"/>
      <c r="CBN11" s="731"/>
      <c r="CBR11" s="731"/>
      <c r="CBV11" s="731"/>
      <c r="CBZ11" s="731"/>
      <c r="CCD11" s="731"/>
      <c r="CCH11" s="731"/>
      <c r="CCL11" s="731"/>
      <c r="CCP11" s="731"/>
      <c r="CCT11" s="731"/>
      <c r="CCX11" s="731"/>
      <c r="CDB11" s="731"/>
      <c r="CDF11" s="731"/>
      <c r="CDJ11" s="731"/>
      <c r="CDN11" s="731"/>
      <c r="CDR11" s="731"/>
      <c r="CDV11" s="731"/>
      <c r="CDZ11" s="731"/>
      <c r="CED11" s="731"/>
      <c r="CEH11" s="731"/>
      <c r="CEL11" s="731"/>
      <c r="CEP11" s="731"/>
      <c r="CET11" s="731"/>
      <c r="CEX11" s="731"/>
      <c r="CFB11" s="731"/>
      <c r="CFF11" s="731"/>
      <c r="CFJ11" s="731"/>
      <c r="CFN11" s="731"/>
      <c r="CFR11" s="731"/>
      <c r="CFV11" s="731"/>
      <c r="CFZ11" s="731"/>
      <c r="CGD11" s="731"/>
      <c r="CGH11" s="731"/>
      <c r="CGL11" s="731"/>
      <c r="CGP11" s="731"/>
      <c r="CGT11" s="731"/>
      <c r="CGX11" s="731"/>
      <c r="CHB11" s="731"/>
      <c r="CHF11" s="731"/>
      <c r="CHJ11" s="731"/>
      <c r="CHN11" s="731"/>
      <c r="CHR11" s="731"/>
      <c r="CHV11" s="731"/>
      <c r="CHZ11" s="731"/>
      <c r="CID11" s="731"/>
      <c r="CIH11" s="731"/>
      <c r="CIL11" s="731"/>
      <c r="CIP11" s="731"/>
      <c r="CIT11" s="731"/>
      <c r="CIX11" s="731"/>
      <c r="CJB11" s="731"/>
      <c r="CJF11" s="731"/>
      <c r="CJJ11" s="731"/>
      <c r="CJN11" s="731"/>
      <c r="CJR11" s="731"/>
      <c r="CJV11" s="731"/>
      <c r="CJZ11" s="731"/>
      <c r="CKD11" s="731"/>
      <c r="CKH11" s="731"/>
      <c r="CKL11" s="731"/>
      <c r="CKP11" s="731"/>
      <c r="CKT11" s="731"/>
      <c r="CKX11" s="731"/>
      <c r="CLB11" s="731"/>
      <c r="CLF11" s="731"/>
      <c r="CLJ11" s="731"/>
      <c r="CLN11" s="731"/>
      <c r="CLR11" s="731"/>
      <c r="CLV11" s="731"/>
      <c r="CLZ11" s="731"/>
      <c r="CMD11" s="731"/>
      <c r="CMH11" s="731"/>
      <c r="CML11" s="731"/>
      <c r="CMP11" s="731"/>
      <c r="CMT11" s="731"/>
      <c r="CMX11" s="731"/>
      <c r="CNB11" s="731"/>
      <c r="CNF11" s="731"/>
      <c r="CNJ11" s="731"/>
      <c r="CNN11" s="731"/>
      <c r="CNR11" s="731"/>
      <c r="CNV11" s="731"/>
      <c r="CNZ11" s="731"/>
      <c r="COD11" s="731"/>
      <c r="COH11" s="731"/>
      <c r="COL11" s="731"/>
      <c r="COP11" s="731"/>
      <c r="COT11" s="731"/>
      <c r="COX11" s="731"/>
      <c r="CPB11" s="731"/>
      <c r="CPF11" s="731"/>
      <c r="CPJ11" s="731"/>
      <c r="CPN11" s="731"/>
      <c r="CPR11" s="731"/>
      <c r="CPV11" s="731"/>
      <c r="CPZ11" s="731"/>
      <c r="CQD11" s="731"/>
      <c r="CQH11" s="731"/>
      <c r="CQL11" s="731"/>
      <c r="CQP11" s="731"/>
      <c r="CQT11" s="731"/>
      <c r="CQX11" s="731"/>
      <c r="CRB11" s="731"/>
      <c r="CRF11" s="731"/>
      <c r="CRJ11" s="731"/>
      <c r="CRN11" s="731"/>
      <c r="CRR11" s="731"/>
      <c r="CRV11" s="731"/>
      <c r="CRZ11" s="731"/>
      <c r="CSD11" s="731"/>
      <c r="CSH11" s="731"/>
      <c r="CSL11" s="731"/>
      <c r="CSP11" s="731"/>
      <c r="CST11" s="731"/>
      <c r="CSX11" s="731"/>
      <c r="CTB11" s="731"/>
      <c r="CTF11" s="731"/>
      <c r="CTJ11" s="731"/>
      <c r="CTN11" s="731"/>
      <c r="CTR11" s="731"/>
      <c r="CTV11" s="731"/>
      <c r="CTZ11" s="731"/>
      <c r="CUD11" s="731"/>
      <c r="CUH11" s="731"/>
      <c r="CUL11" s="731"/>
      <c r="CUP11" s="731"/>
      <c r="CUT11" s="731"/>
      <c r="CUX11" s="731"/>
      <c r="CVB11" s="731"/>
      <c r="CVF11" s="731"/>
      <c r="CVJ11" s="731"/>
      <c r="CVN11" s="731"/>
      <c r="CVR11" s="731"/>
      <c r="CVV11" s="731"/>
      <c r="CVZ11" s="731"/>
      <c r="CWD11" s="731"/>
      <c r="CWH11" s="731"/>
      <c r="CWL11" s="731"/>
      <c r="CWP11" s="731"/>
      <c r="CWT11" s="731"/>
      <c r="CWX11" s="731"/>
      <c r="CXB11" s="731"/>
      <c r="CXF11" s="731"/>
      <c r="CXJ11" s="731"/>
      <c r="CXN11" s="731"/>
      <c r="CXR11" s="731"/>
      <c r="CXV11" s="731"/>
      <c r="CXZ11" s="731"/>
      <c r="CYD11" s="731"/>
      <c r="CYH11" s="731"/>
      <c r="CYL11" s="731"/>
      <c r="CYP11" s="731"/>
      <c r="CYT11" s="731"/>
      <c r="CYX11" s="731"/>
      <c r="CZB11" s="731"/>
      <c r="CZF11" s="731"/>
      <c r="CZJ11" s="731"/>
      <c r="CZN11" s="731"/>
      <c r="CZR11" s="731"/>
      <c r="CZV11" s="731"/>
      <c r="CZZ11" s="731"/>
      <c r="DAD11" s="731"/>
      <c r="DAH11" s="731"/>
      <c r="DAL11" s="731"/>
      <c r="DAP11" s="731"/>
      <c r="DAT11" s="731"/>
      <c r="DAX11" s="731"/>
      <c r="DBB11" s="731"/>
      <c r="DBF11" s="731"/>
      <c r="DBJ11" s="731"/>
      <c r="DBN11" s="731"/>
      <c r="DBR11" s="731"/>
      <c r="DBV11" s="731"/>
      <c r="DBZ11" s="731"/>
      <c r="DCD11" s="731"/>
      <c r="DCH11" s="731"/>
      <c r="DCL11" s="731"/>
      <c r="DCP11" s="731"/>
      <c r="DCT11" s="731"/>
      <c r="DCX11" s="731"/>
      <c r="DDB11" s="731"/>
      <c r="DDF11" s="731"/>
      <c r="DDJ11" s="731"/>
      <c r="DDN11" s="731"/>
      <c r="DDR11" s="731"/>
      <c r="DDV11" s="731"/>
      <c r="DDZ11" s="731"/>
      <c r="DED11" s="731"/>
      <c r="DEH11" s="731"/>
      <c r="DEL11" s="731"/>
      <c r="DEP11" s="731"/>
      <c r="DET11" s="731"/>
      <c r="DEX11" s="731"/>
      <c r="DFB11" s="731"/>
      <c r="DFF11" s="731"/>
      <c r="DFJ11" s="731"/>
      <c r="DFN11" s="731"/>
      <c r="DFR11" s="731"/>
      <c r="DFV11" s="731"/>
      <c r="DFZ11" s="731"/>
      <c r="DGD11" s="731"/>
      <c r="DGH11" s="731"/>
      <c r="DGL11" s="731"/>
      <c r="DGP11" s="731"/>
      <c r="DGT11" s="731"/>
      <c r="DGX11" s="731"/>
      <c r="DHB11" s="731"/>
      <c r="DHF11" s="731"/>
      <c r="DHJ11" s="731"/>
      <c r="DHN11" s="731"/>
      <c r="DHR11" s="731"/>
      <c r="DHV11" s="731"/>
      <c r="DHZ11" s="731"/>
      <c r="DID11" s="731"/>
      <c r="DIH11" s="731"/>
      <c r="DIL11" s="731"/>
      <c r="DIP11" s="731"/>
      <c r="DIT11" s="731"/>
      <c r="DIX11" s="731"/>
      <c r="DJB11" s="731"/>
      <c r="DJF11" s="731"/>
      <c r="DJJ11" s="731"/>
      <c r="DJN11" s="731"/>
      <c r="DJR11" s="731"/>
      <c r="DJV11" s="731"/>
      <c r="DJZ11" s="731"/>
      <c r="DKD11" s="731"/>
      <c r="DKH11" s="731"/>
      <c r="DKL11" s="731"/>
      <c r="DKP11" s="731"/>
      <c r="DKT11" s="731"/>
      <c r="DKX11" s="731"/>
      <c r="DLB11" s="731"/>
      <c r="DLF11" s="731"/>
      <c r="DLJ11" s="731"/>
      <c r="DLN11" s="731"/>
      <c r="DLR11" s="731"/>
      <c r="DLV11" s="731"/>
      <c r="DLZ11" s="731"/>
      <c r="DMD11" s="731"/>
      <c r="DMH11" s="731"/>
      <c r="DML11" s="731"/>
      <c r="DMP11" s="731"/>
      <c r="DMT11" s="731"/>
      <c r="DMX11" s="731"/>
      <c r="DNB11" s="731"/>
      <c r="DNF11" s="731"/>
      <c r="DNJ11" s="731"/>
      <c r="DNN11" s="731"/>
      <c r="DNR11" s="731"/>
      <c r="DNV11" s="731"/>
      <c r="DNZ11" s="731"/>
      <c r="DOD11" s="731"/>
      <c r="DOH11" s="731"/>
      <c r="DOL11" s="731"/>
      <c r="DOP11" s="731"/>
      <c r="DOT11" s="731"/>
      <c r="DOX11" s="731"/>
      <c r="DPB11" s="731"/>
      <c r="DPF11" s="731"/>
      <c r="DPJ11" s="731"/>
      <c r="DPN11" s="731"/>
      <c r="DPR11" s="731"/>
      <c r="DPV11" s="731"/>
      <c r="DPZ11" s="731"/>
      <c r="DQD11" s="731"/>
      <c r="DQH11" s="731"/>
      <c r="DQL11" s="731"/>
      <c r="DQP11" s="731"/>
      <c r="DQT11" s="731"/>
      <c r="DQX11" s="731"/>
      <c r="DRB11" s="731"/>
      <c r="DRF11" s="731"/>
      <c r="DRJ11" s="731"/>
      <c r="DRN11" s="731"/>
      <c r="DRR11" s="731"/>
      <c r="DRV11" s="731"/>
      <c r="DRZ11" s="731"/>
      <c r="DSD11" s="731"/>
      <c r="DSH11" s="731"/>
      <c r="DSL11" s="731"/>
      <c r="DSP11" s="731"/>
      <c r="DST11" s="731"/>
      <c r="DSX11" s="731"/>
      <c r="DTB11" s="731"/>
      <c r="DTF11" s="731"/>
      <c r="DTJ11" s="731"/>
      <c r="DTN11" s="731"/>
      <c r="DTR11" s="731"/>
      <c r="DTV11" s="731"/>
      <c r="DTZ11" s="731"/>
      <c r="DUD11" s="731"/>
      <c r="DUH11" s="731"/>
      <c r="DUL11" s="731"/>
      <c r="DUP11" s="731"/>
      <c r="DUT11" s="731"/>
      <c r="DUX11" s="731"/>
      <c r="DVB11" s="731"/>
      <c r="DVF11" s="731"/>
      <c r="DVJ11" s="731"/>
      <c r="DVN11" s="731"/>
      <c r="DVR11" s="731"/>
      <c r="DVV11" s="731"/>
      <c r="DVZ11" s="731"/>
      <c r="DWD11" s="731"/>
      <c r="DWH11" s="731"/>
      <c r="DWL11" s="731"/>
      <c r="DWP11" s="731"/>
      <c r="DWT11" s="731"/>
      <c r="DWX11" s="731"/>
      <c r="DXB11" s="731"/>
      <c r="DXF11" s="731"/>
      <c r="DXJ11" s="731"/>
      <c r="DXN11" s="731"/>
      <c r="DXR11" s="731"/>
      <c r="DXV11" s="731"/>
      <c r="DXZ11" s="731"/>
      <c r="DYD11" s="731"/>
      <c r="DYH11" s="731"/>
      <c r="DYL11" s="731"/>
      <c r="DYP11" s="731"/>
      <c r="DYT11" s="731"/>
      <c r="DYX11" s="731"/>
      <c r="DZB11" s="731"/>
      <c r="DZF11" s="731"/>
      <c r="DZJ11" s="731"/>
      <c r="DZN11" s="731"/>
      <c r="DZR11" s="731"/>
      <c r="DZV11" s="731"/>
      <c r="DZZ11" s="731"/>
      <c r="EAD11" s="731"/>
      <c r="EAH11" s="731"/>
      <c r="EAL11" s="731"/>
      <c r="EAP11" s="731"/>
      <c r="EAT11" s="731"/>
      <c r="EAX11" s="731"/>
      <c r="EBB11" s="731"/>
      <c r="EBF11" s="731"/>
      <c r="EBJ11" s="731"/>
      <c r="EBN11" s="731"/>
      <c r="EBR11" s="731"/>
      <c r="EBV11" s="731"/>
      <c r="EBZ11" s="731"/>
      <c r="ECD11" s="731"/>
      <c r="ECH11" s="731"/>
      <c r="ECL11" s="731"/>
      <c r="ECP11" s="731"/>
      <c r="ECT11" s="731"/>
      <c r="ECX11" s="731"/>
      <c r="EDB11" s="731"/>
      <c r="EDF11" s="731"/>
      <c r="EDJ11" s="731"/>
      <c r="EDN11" s="731"/>
      <c r="EDR11" s="731"/>
      <c r="EDV11" s="731"/>
      <c r="EDZ11" s="731"/>
      <c r="EED11" s="731"/>
      <c r="EEH11" s="731"/>
      <c r="EEL11" s="731"/>
      <c r="EEP11" s="731"/>
      <c r="EET11" s="731"/>
      <c r="EEX11" s="731"/>
      <c r="EFB11" s="731"/>
      <c r="EFF11" s="731"/>
      <c r="EFJ11" s="731"/>
      <c r="EFN11" s="731"/>
      <c r="EFR11" s="731"/>
      <c r="EFV11" s="731"/>
      <c r="EFZ11" s="731"/>
      <c r="EGD11" s="731"/>
      <c r="EGH11" s="731"/>
      <c r="EGL11" s="731"/>
      <c r="EGP11" s="731"/>
      <c r="EGT11" s="731"/>
      <c r="EGX11" s="731"/>
      <c r="EHB11" s="731"/>
      <c r="EHF11" s="731"/>
      <c r="EHJ11" s="731"/>
      <c r="EHN11" s="731"/>
      <c r="EHR11" s="731"/>
      <c r="EHV11" s="731"/>
      <c r="EHZ11" s="731"/>
      <c r="EID11" s="731"/>
      <c r="EIH11" s="731"/>
      <c r="EIL11" s="731"/>
      <c r="EIP11" s="731"/>
      <c r="EIT11" s="731"/>
      <c r="EIX11" s="731"/>
      <c r="EJB11" s="731"/>
      <c r="EJF11" s="731"/>
      <c r="EJJ11" s="731"/>
      <c r="EJN11" s="731"/>
      <c r="EJR11" s="731"/>
      <c r="EJV11" s="731"/>
      <c r="EJZ11" s="731"/>
      <c r="EKD11" s="731"/>
      <c r="EKH11" s="731"/>
      <c r="EKL11" s="731"/>
      <c r="EKP11" s="731"/>
      <c r="EKT11" s="731"/>
      <c r="EKX11" s="731"/>
      <c r="ELB11" s="731"/>
      <c r="ELF11" s="731"/>
      <c r="ELJ11" s="731"/>
      <c r="ELN11" s="731"/>
      <c r="ELR11" s="731"/>
      <c r="ELV11" s="731"/>
      <c r="ELZ11" s="731"/>
      <c r="EMD11" s="731"/>
      <c r="EMH11" s="731"/>
      <c r="EML11" s="731"/>
      <c r="EMP11" s="731"/>
      <c r="EMT11" s="731"/>
      <c r="EMX11" s="731"/>
      <c r="ENB11" s="731"/>
      <c r="ENF11" s="731"/>
      <c r="ENJ11" s="731"/>
      <c r="ENN11" s="731"/>
      <c r="ENR11" s="731"/>
      <c r="ENV11" s="731"/>
      <c r="ENZ11" s="731"/>
      <c r="EOD11" s="731"/>
      <c r="EOH11" s="731"/>
      <c r="EOL11" s="731"/>
      <c r="EOP11" s="731"/>
      <c r="EOT11" s="731"/>
      <c r="EOX11" s="731"/>
      <c r="EPB11" s="731"/>
      <c r="EPF11" s="731"/>
      <c r="EPJ11" s="731"/>
      <c r="EPN11" s="731"/>
      <c r="EPR11" s="731"/>
      <c r="EPV11" s="731"/>
      <c r="EPZ11" s="731"/>
      <c r="EQD11" s="731"/>
      <c r="EQH11" s="731"/>
      <c r="EQL11" s="731"/>
      <c r="EQP11" s="731"/>
      <c r="EQT11" s="731"/>
      <c r="EQX11" s="731"/>
      <c r="ERB11" s="731"/>
      <c r="ERF11" s="731"/>
      <c r="ERJ11" s="731"/>
      <c r="ERN11" s="731"/>
      <c r="ERR11" s="731"/>
      <c r="ERV11" s="731"/>
      <c r="ERZ11" s="731"/>
      <c r="ESD11" s="731"/>
      <c r="ESH11" s="731"/>
      <c r="ESL11" s="731"/>
      <c r="ESP11" s="731"/>
      <c r="EST11" s="731"/>
      <c r="ESX11" s="731"/>
      <c r="ETB11" s="731"/>
      <c r="ETF11" s="731"/>
      <c r="ETJ11" s="731"/>
      <c r="ETN11" s="731"/>
      <c r="ETR11" s="731"/>
      <c r="ETV11" s="731"/>
      <c r="ETZ11" s="731"/>
      <c r="EUD11" s="731"/>
      <c r="EUH11" s="731"/>
      <c r="EUL11" s="731"/>
      <c r="EUP11" s="731"/>
      <c r="EUT11" s="731"/>
      <c r="EUX11" s="731"/>
      <c r="EVB11" s="731"/>
      <c r="EVF11" s="731"/>
      <c r="EVJ11" s="731"/>
      <c r="EVN11" s="731"/>
      <c r="EVR11" s="731"/>
      <c r="EVV11" s="731"/>
      <c r="EVZ11" s="731"/>
      <c r="EWD11" s="731"/>
      <c r="EWH11" s="731"/>
      <c r="EWL11" s="731"/>
      <c r="EWP11" s="731"/>
      <c r="EWT11" s="731"/>
      <c r="EWX11" s="731"/>
      <c r="EXB11" s="731"/>
      <c r="EXF11" s="731"/>
      <c r="EXJ11" s="731"/>
      <c r="EXN11" s="731"/>
      <c r="EXR11" s="731"/>
      <c r="EXV11" s="731"/>
      <c r="EXZ11" s="731"/>
      <c r="EYD11" s="731"/>
      <c r="EYH11" s="731"/>
      <c r="EYL11" s="731"/>
      <c r="EYP11" s="731"/>
      <c r="EYT11" s="731"/>
      <c r="EYX11" s="731"/>
      <c r="EZB11" s="731"/>
      <c r="EZF11" s="731"/>
      <c r="EZJ11" s="731"/>
      <c r="EZN11" s="731"/>
      <c r="EZR11" s="731"/>
      <c r="EZV11" s="731"/>
      <c r="EZZ11" s="731"/>
      <c r="FAD11" s="731"/>
      <c r="FAH11" s="731"/>
      <c r="FAL11" s="731"/>
      <c r="FAP11" s="731"/>
      <c r="FAT11" s="731"/>
      <c r="FAX11" s="731"/>
      <c r="FBB11" s="731"/>
      <c r="FBF11" s="731"/>
      <c r="FBJ11" s="731"/>
      <c r="FBN11" s="731"/>
      <c r="FBR11" s="731"/>
      <c r="FBV11" s="731"/>
      <c r="FBZ11" s="731"/>
      <c r="FCD11" s="731"/>
      <c r="FCH11" s="731"/>
      <c r="FCL11" s="731"/>
      <c r="FCP11" s="731"/>
      <c r="FCT11" s="731"/>
      <c r="FCX11" s="731"/>
      <c r="FDB11" s="731"/>
      <c r="FDF11" s="731"/>
      <c r="FDJ11" s="731"/>
      <c r="FDN11" s="731"/>
      <c r="FDR11" s="731"/>
      <c r="FDV11" s="731"/>
      <c r="FDZ11" s="731"/>
      <c r="FED11" s="731"/>
      <c r="FEH11" s="731"/>
      <c r="FEL11" s="731"/>
      <c r="FEP11" s="731"/>
      <c r="FET11" s="731"/>
      <c r="FEX11" s="731"/>
      <c r="FFB11" s="731"/>
      <c r="FFF11" s="731"/>
      <c r="FFJ11" s="731"/>
      <c r="FFN11" s="731"/>
      <c r="FFR11" s="731"/>
      <c r="FFV11" s="731"/>
      <c r="FFZ11" s="731"/>
      <c r="FGD11" s="731"/>
      <c r="FGH11" s="731"/>
      <c r="FGL11" s="731"/>
      <c r="FGP11" s="731"/>
      <c r="FGT11" s="731"/>
      <c r="FGX11" s="731"/>
      <c r="FHB11" s="731"/>
      <c r="FHF11" s="731"/>
      <c r="FHJ11" s="731"/>
      <c r="FHN11" s="731"/>
      <c r="FHR11" s="731"/>
      <c r="FHV11" s="731"/>
      <c r="FHZ11" s="731"/>
      <c r="FID11" s="731"/>
      <c r="FIH11" s="731"/>
      <c r="FIL11" s="731"/>
      <c r="FIP11" s="731"/>
      <c r="FIT11" s="731"/>
      <c r="FIX11" s="731"/>
      <c r="FJB11" s="731"/>
      <c r="FJF11" s="731"/>
      <c r="FJJ11" s="731"/>
      <c r="FJN11" s="731"/>
      <c r="FJR11" s="731"/>
      <c r="FJV11" s="731"/>
      <c r="FJZ11" s="731"/>
      <c r="FKD11" s="731"/>
      <c r="FKH11" s="731"/>
      <c r="FKL11" s="731"/>
      <c r="FKP11" s="731"/>
      <c r="FKT11" s="731"/>
      <c r="FKX11" s="731"/>
      <c r="FLB11" s="731"/>
      <c r="FLF11" s="731"/>
      <c r="FLJ11" s="731"/>
      <c r="FLN11" s="731"/>
      <c r="FLR11" s="731"/>
      <c r="FLV11" s="731"/>
      <c r="FLZ11" s="731"/>
      <c r="FMD11" s="731"/>
      <c r="FMH11" s="731"/>
      <c r="FML11" s="731"/>
      <c r="FMP11" s="731"/>
      <c r="FMT11" s="731"/>
      <c r="FMX11" s="731"/>
      <c r="FNB11" s="731"/>
      <c r="FNF11" s="731"/>
      <c r="FNJ11" s="731"/>
      <c r="FNN11" s="731"/>
      <c r="FNR11" s="731"/>
      <c r="FNV11" s="731"/>
      <c r="FNZ11" s="731"/>
      <c r="FOD11" s="731"/>
      <c r="FOH11" s="731"/>
      <c r="FOL11" s="731"/>
      <c r="FOP11" s="731"/>
      <c r="FOT11" s="731"/>
      <c r="FOX11" s="731"/>
      <c r="FPB11" s="731"/>
      <c r="FPF11" s="731"/>
      <c r="FPJ11" s="731"/>
      <c r="FPN11" s="731"/>
      <c r="FPR11" s="731"/>
      <c r="FPV11" s="731"/>
      <c r="FPZ11" s="731"/>
      <c r="FQD11" s="731"/>
      <c r="FQH11" s="731"/>
      <c r="FQL11" s="731"/>
      <c r="FQP11" s="731"/>
      <c r="FQT11" s="731"/>
      <c r="FQX11" s="731"/>
      <c r="FRB11" s="731"/>
      <c r="FRF11" s="731"/>
      <c r="FRJ11" s="731"/>
      <c r="FRN11" s="731"/>
      <c r="FRR11" s="731"/>
      <c r="FRV11" s="731"/>
      <c r="FRZ11" s="731"/>
      <c r="FSD11" s="731"/>
      <c r="FSH11" s="731"/>
      <c r="FSL11" s="731"/>
      <c r="FSP11" s="731"/>
      <c r="FST11" s="731"/>
      <c r="FSX11" s="731"/>
      <c r="FTB11" s="731"/>
      <c r="FTF11" s="731"/>
      <c r="FTJ11" s="731"/>
      <c r="FTN11" s="731"/>
      <c r="FTR11" s="731"/>
      <c r="FTV11" s="731"/>
      <c r="FTZ11" s="731"/>
      <c r="FUD11" s="731"/>
      <c r="FUH11" s="731"/>
      <c r="FUL11" s="731"/>
      <c r="FUP11" s="731"/>
      <c r="FUT11" s="731"/>
      <c r="FUX11" s="731"/>
      <c r="FVB11" s="731"/>
      <c r="FVF11" s="731"/>
      <c r="FVJ11" s="731"/>
      <c r="FVN11" s="731"/>
      <c r="FVR11" s="731"/>
      <c r="FVV11" s="731"/>
      <c r="FVZ11" s="731"/>
      <c r="FWD11" s="731"/>
      <c r="FWH11" s="731"/>
      <c r="FWL11" s="731"/>
      <c r="FWP11" s="731"/>
      <c r="FWT11" s="731"/>
      <c r="FWX11" s="731"/>
      <c r="FXB11" s="731"/>
      <c r="FXF11" s="731"/>
      <c r="FXJ11" s="731"/>
      <c r="FXN11" s="731"/>
      <c r="FXR11" s="731"/>
      <c r="FXV11" s="731"/>
      <c r="FXZ11" s="731"/>
      <c r="FYD11" s="731"/>
      <c r="FYH11" s="731"/>
      <c r="FYL11" s="731"/>
      <c r="FYP11" s="731"/>
      <c r="FYT11" s="731"/>
      <c r="FYX11" s="731"/>
      <c r="FZB11" s="731"/>
      <c r="FZF11" s="731"/>
      <c r="FZJ11" s="731"/>
      <c r="FZN11" s="731"/>
      <c r="FZR11" s="731"/>
      <c r="FZV11" s="731"/>
      <c r="FZZ11" s="731"/>
      <c r="GAD11" s="731"/>
      <c r="GAH11" s="731"/>
      <c r="GAL11" s="731"/>
      <c r="GAP11" s="731"/>
      <c r="GAT11" s="731"/>
      <c r="GAX11" s="731"/>
      <c r="GBB11" s="731"/>
      <c r="GBF11" s="731"/>
      <c r="GBJ11" s="731"/>
      <c r="GBN11" s="731"/>
      <c r="GBR11" s="731"/>
      <c r="GBV11" s="731"/>
      <c r="GBZ11" s="731"/>
      <c r="GCD11" s="731"/>
      <c r="GCH11" s="731"/>
      <c r="GCL11" s="731"/>
      <c r="GCP11" s="731"/>
      <c r="GCT11" s="731"/>
      <c r="GCX11" s="731"/>
      <c r="GDB11" s="731"/>
      <c r="GDF11" s="731"/>
      <c r="GDJ11" s="731"/>
      <c r="GDN11" s="731"/>
      <c r="GDR11" s="731"/>
      <c r="GDV11" s="731"/>
      <c r="GDZ11" s="731"/>
      <c r="GED11" s="731"/>
      <c r="GEH11" s="731"/>
      <c r="GEL11" s="731"/>
      <c r="GEP11" s="731"/>
      <c r="GET11" s="731"/>
      <c r="GEX11" s="731"/>
      <c r="GFB11" s="731"/>
      <c r="GFF11" s="731"/>
      <c r="GFJ11" s="731"/>
      <c r="GFN11" s="731"/>
      <c r="GFR11" s="731"/>
      <c r="GFV11" s="731"/>
      <c r="GFZ11" s="731"/>
      <c r="GGD11" s="731"/>
      <c r="GGH11" s="731"/>
      <c r="GGL11" s="731"/>
      <c r="GGP11" s="731"/>
      <c r="GGT11" s="731"/>
      <c r="GGX11" s="731"/>
      <c r="GHB11" s="731"/>
      <c r="GHF11" s="731"/>
      <c r="GHJ11" s="731"/>
      <c r="GHN11" s="731"/>
      <c r="GHR11" s="731"/>
      <c r="GHV11" s="731"/>
      <c r="GHZ11" s="731"/>
      <c r="GID11" s="731"/>
      <c r="GIH11" s="731"/>
      <c r="GIL11" s="731"/>
      <c r="GIP11" s="731"/>
      <c r="GIT11" s="731"/>
      <c r="GIX11" s="731"/>
      <c r="GJB11" s="731"/>
      <c r="GJF11" s="731"/>
      <c r="GJJ11" s="731"/>
      <c r="GJN11" s="731"/>
      <c r="GJR11" s="731"/>
      <c r="GJV11" s="731"/>
      <c r="GJZ11" s="731"/>
      <c r="GKD11" s="731"/>
      <c r="GKH11" s="731"/>
      <c r="GKL11" s="731"/>
      <c r="GKP11" s="731"/>
      <c r="GKT11" s="731"/>
      <c r="GKX11" s="731"/>
      <c r="GLB11" s="731"/>
      <c r="GLF11" s="731"/>
      <c r="GLJ11" s="731"/>
      <c r="GLN11" s="731"/>
      <c r="GLR11" s="731"/>
      <c r="GLV11" s="731"/>
      <c r="GLZ11" s="731"/>
      <c r="GMD11" s="731"/>
      <c r="GMH11" s="731"/>
      <c r="GML11" s="731"/>
      <c r="GMP11" s="731"/>
      <c r="GMT11" s="731"/>
      <c r="GMX11" s="731"/>
      <c r="GNB11" s="731"/>
      <c r="GNF11" s="731"/>
      <c r="GNJ11" s="731"/>
      <c r="GNN11" s="731"/>
      <c r="GNR11" s="731"/>
      <c r="GNV11" s="731"/>
      <c r="GNZ11" s="731"/>
      <c r="GOD11" s="731"/>
      <c r="GOH11" s="731"/>
      <c r="GOL11" s="731"/>
      <c r="GOP11" s="731"/>
      <c r="GOT11" s="731"/>
      <c r="GOX11" s="731"/>
      <c r="GPB11" s="731"/>
      <c r="GPF11" s="731"/>
      <c r="GPJ11" s="731"/>
      <c r="GPN11" s="731"/>
      <c r="GPR11" s="731"/>
      <c r="GPV11" s="731"/>
      <c r="GPZ11" s="731"/>
      <c r="GQD11" s="731"/>
      <c r="GQH11" s="731"/>
      <c r="GQL11" s="731"/>
      <c r="GQP11" s="731"/>
      <c r="GQT11" s="731"/>
      <c r="GQX11" s="731"/>
      <c r="GRB11" s="731"/>
      <c r="GRF11" s="731"/>
      <c r="GRJ11" s="731"/>
      <c r="GRN11" s="731"/>
      <c r="GRR11" s="731"/>
      <c r="GRV11" s="731"/>
      <c r="GRZ11" s="731"/>
      <c r="GSD11" s="731"/>
      <c r="GSH11" s="731"/>
      <c r="GSL11" s="731"/>
      <c r="GSP11" s="731"/>
      <c r="GST11" s="731"/>
      <c r="GSX11" s="731"/>
      <c r="GTB11" s="731"/>
      <c r="GTF11" s="731"/>
      <c r="GTJ11" s="731"/>
      <c r="GTN11" s="731"/>
      <c r="GTR11" s="731"/>
      <c r="GTV11" s="731"/>
      <c r="GTZ11" s="731"/>
      <c r="GUD11" s="731"/>
      <c r="GUH11" s="731"/>
      <c r="GUL11" s="731"/>
      <c r="GUP11" s="731"/>
      <c r="GUT11" s="731"/>
      <c r="GUX11" s="731"/>
      <c r="GVB11" s="731"/>
      <c r="GVF11" s="731"/>
      <c r="GVJ11" s="731"/>
      <c r="GVN11" s="731"/>
      <c r="GVR11" s="731"/>
      <c r="GVV11" s="731"/>
      <c r="GVZ11" s="731"/>
      <c r="GWD11" s="731"/>
      <c r="GWH11" s="731"/>
      <c r="GWL11" s="731"/>
      <c r="GWP11" s="731"/>
      <c r="GWT11" s="731"/>
      <c r="GWX11" s="731"/>
      <c r="GXB11" s="731"/>
      <c r="GXF11" s="731"/>
      <c r="GXJ11" s="731"/>
      <c r="GXN11" s="731"/>
      <c r="GXR11" s="731"/>
      <c r="GXV11" s="731"/>
      <c r="GXZ11" s="731"/>
      <c r="GYD11" s="731"/>
      <c r="GYH11" s="731"/>
      <c r="GYL11" s="731"/>
      <c r="GYP11" s="731"/>
      <c r="GYT11" s="731"/>
      <c r="GYX11" s="731"/>
      <c r="GZB11" s="731"/>
      <c r="GZF11" s="731"/>
      <c r="GZJ11" s="731"/>
      <c r="GZN11" s="731"/>
      <c r="GZR11" s="731"/>
      <c r="GZV11" s="731"/>
      <c r="GZZ11" s="731"/>
      <c r="HAD11" s="731"/>
      <c r="HAH11" s="731"/>
      <c r="HAL11" s="731"/>
      <c r="HAP11" s="731"/>
      <c r="HAT11" s="731"/>
      <c r="HAX11" s="731"/>
      <c r="HBB11" s="731"/>
      <c r="HBF11" s="731"/>
      <c r="HBJ11" s="731"/>
      <c r="HBN11" s="731"/>
      <c r="HBR11" s="731"/>
      <c r="HBV11" s="731"/>
      <c r="HBZ11" s="731"/>
      <c r="HCD11" s="731"/>
      <c r="HCH11" s="731"/>
      <c r="HCL11" s="731"/>
      <c r="HCP11" s="731"/>
      <c r="HCT11" s="731"/>
      <c r="HCX11" s="731"/>
      <c r="HDB11" s="731"/>
      <c r="HDF11" s="731"/>
      <c r="HDJ11" s="731"/>
      <c r="HDN11" s="731"/>
      <c r="HDR11" s="731"/>
      <c r="HDV11" s="731"/>
      <c r="HDZ11" s="731"/>
      <c r="HED11" s="731"/>
      <c r="HEH11" s="731"/>
      <c r="HEL11" s="731"/>
      <c r="HEP11" s="731"/>
      <c r="HET11" s="731"/>
      <c r="HEX11" s="731"/>
      <c r="HFB11" s="731"/>
      <c r="HFF11" s="731"/>
      <c r="HFJ11" s="731"/>
      <c r="HFN11" s="731"/>
      <c r="HFR11" s="731"/>
      <c r="HFV11" s="731"/>
      <c r="HFZ11" s="731"/>
      <c r="HGD11" s="731"/>
      <c r="HGH11" s="731"/>
      <c r="HGL11" s="731"/>
      <c r="HGP11" s="731"/>
      <c r="HGT11" s="731"/>
      <c r="HGX11" s="731"/>
      <c r="HHB11" s="731"/>
      <c r="HHF11" s="731"/>
      <c r="HHJ11" s="731"/>
      <c r="HHN11" s="731"/>
      <c r="HHR11" s="731"/>
      <c r="HHV11" s="731"/>
      <c r="HHZ11" s="731"/>
      <c r="HID11" s="731"/>
      <c r="HIH11" s="731"/>
      <c r="HIL11" s="731"/>
      <c r="HIP11" s="731"/>
      <c r="HIT11" s="731"/>
      <c r="HIX11" s="731"/>
      <c r="HJB11" s="731"/>
      <c r="HJF11" s="731"/>
      <c r="HJJ11" s="731"/>
      <c r="HJN11" s="731"/>
      <c r="HJR11" s="731"/>
      <c r="HJV11" s="731"/>
      <c r="HJZ11" s="731"/>
      <c r="HKD11" s="731"/>
      <c r="HKH11" s="731"/>
      <c r="HKL11" s="731"/>
      <c r="HKP11" s="731"/>
      <c r="HKT11" s="731"/>
      <c r="HKX11" s="731"/>
      <c r="HLB11" s="731"/>
      <c r="HLF11" s="731"/>
      <c r="HLJ11" s="731"/>
      <c r="HLN11" s="731"/>
      <c r="HLR11" s="731"/>
      <c r="HLV11" s="731"/>
      <c r="HLZ11" s="731"/>
      <c r="HMD11" s="731"/>
      <c r="HMH11" s="731"/>
      <c r="HML11" s="731"/>
      <c r="HMP11" s="731"/>
      <c r="HMT11" s="731"/>
      <c r="HMX11" s="731"/>
      <c r="HNB11" s="731"/>
      <c r="HNF11" s="731"/>
      <c r="HNJ11" s="731"/>
      <c r="HNN11" s="731"/>
      <c r="HNR11" s="731"/>
      <c r="HNV11" s="731"/>
      <c r="HNZ11" s="731"/>
      <c r="HOD11" s="731"/>
      <c r="HOH11" s="731"/>
      <c r="HOL11" s="731"/>
      <c r="HOP11" s="731"/>
      <c r="HOT11" s="731"/>
      <c r="HOX11" s="731"/>
      <c r="HPB11" s="731"/>
      <c r="HPF11" s="731"/>
      <c r="HPJ11" s="731"/>
      <c r="HPN11" s="731"/>
      <c r="HPR11" s="731"/>
      <c r="HPV11" s="731"/>
      <c r="HPZ11" s="731"/>
      <c r="HQD11" s="731"/>
      <c r="HQH11" s="731"/>
      <c r="HQL11" s="731"/>
      <c r="HQP11" s="731"/>
      <c r="HQT11" s="731"/>
      <c r="HQX11" s="731"/>
      <c r="HRB11" s="731"/>
      <c r="HRF11" s="731"/>
      <c r="HRJ11" s="731"/>
      <c r="HRN11" s="731"/>
      <c r="HRR11" s="731"/>
      <c r="HRV11" s="731"/>
      <c r="HRZ11" s="731"/>
      <c r="HSD11" s="731"/>
      <c r="HSH11" s="731"/>
      <c r="HSL11" s="731"/>
      <c r="HSP11" s="731"/>
      <c r="HST11" s="731"/>
      <c r="HSX11" s="731"/>
      <c r="HTB11" s="731"/>
      <c r="HTF11" s="731"/>
      <c r="HTJ11" s="731"/>
      <c r="HTN11" s="731"/>
      <c r="HTR11" s="731"/>
      <c r="HTV11" s="731"/>
      <c r="HTZ11" s="731"/>
      <c r="HUD11" s="731"/>
      <c r="HUH11" s="731"/>
      <c r="HUL11" s="731"/>
      <c r="HUP11" s="731"/>
      <c r="HUT11" s="731"/>
      <c r="HUX11" s="731"/>
      <c r="HVB11" s="731"/>
      <c r="HVF11" s="731"/>
      <c r="HVJ11" s="731"/>
      <c r="HVN11" s="731"/>
      <c r="HVR11" s="731"/>
      <c r="HVV11" s="731"/>
      <c r="HVZ11" s="731"/>
      <c r="HWD11" s="731"/>
      <c r="HWH11" s="731"/>
      <c r="HWL11" s="731"/>
      <c r="HWP11" s="731"/>
      <c r="HWT11" s="731"/>
      <c r="HWX11" s="731"/>
      <c r="HXB11" s="731"/>
      <c r="HXF11" s="731"/>
      <c r="HXJ11" s="731"/>
      <c r="HXN11" s="731"/>
      <c r="HXR11" s="731"/>
      <c r="HXV11" s="731"/>
      <c r="HXZ11" s="731"/>
      <c r="HYD11" s="731"/>
      <c r="HYH11" s="731"/>
      <c r="HYL11" s="731"/>
      <c r="HYP11" s="731"/>
      <c r="HYT11" s="731"/>
      <c r="HYX11" s="731"/>
      <c r="HZB11" s="731"/>
      <c r="HZF11" s="731"/>
      <c r="HZJ11" s="731"/>
      <c r="HZN11" s="731"/>
      <c r="HZR11" s="731"/>
      <c r="HZV11" s="731"/>
      <c r="HZZ11" s="731"/>
      <c r="IAD11" s="731"/>
      <c r="IAH11" s="731"/>
      <c r="IAL11" s="731"/>
      <c r="IAP11" s="731"/>
      <c r="IAT11" s="731"/>
      <c r="IAX11" s="731"/>
      <c r="IBB11" s="731"/>
      <c r="IBF11" s="731"/>
      <c r="IBJ11" s="731"/>
      <c r="IBN11" s="731"/>
      <c r="IBR11" s="731"/>
      <c r="IBV11" s="731"/>
      <c r="IBZ11" s="731"/>
      <c r="ICD11" s="731"/>
      <c r="ICH11" s="731"/>
      <c r="ICL11" s="731"/>
      <c r="ICP11" s="731"/>
      <c r="ICT11" s="731"/>
      <c r="ICX11" s="731"/>
      <c r="IDB11" s="731"/>
      <c r="IDF11" s="731"/>
      <c r="IDJ11" s="731"/>
      <c r="IDN11" s="731"/>
      <c r="IDR11" s="731"/>
      <c r="IDV11" s="731"/>
      <c r="IDZ11" s="731"/>
      <c r="IED11" s="731"/>
      <c r="IEH11" s="731"/>
      <c r="IEL11" s="731"/>
      <c r="IEP11" s="731"/>
      <c r="IET11" s="731"/>
      <c r="IEX11" s="731"/>
      <c r="IFB11" s="731"/>
      <c r="IFF11" s="731"/>
      <c r="IFJ11" s="731"/>
      <c r="IFN11" s="731"/>
      <c r="IFR11" s="731"/>
      <c r="IFV11" s="731"/>
      <c r="IFZ11" s="731"/>
      <c r="IGD11" s="731"/>
      <c r="IGH11" s="731"/>
      <c r="IGL11" s="731"/>
      <c r="IGP11" s="731"/>
      <c r="IGT11" s="731"/>
      <c r="IGX11" s="731"/>
      <c r="IHB11" s="731"/>
      <c r="IHF11" s="731"/>
      <c r="IHJ11" s="731"/>
      <c r="IHN11" s="731"/>
      <c r="IHR11" s="731"/>
      <c r="IHV11" s="731"/>
      <c r="IHZ11" s="731"/>
      <c r="IID11" s="731"/>
      <c r="IIH11" s="731"/>
      <c r="IIL11" s="731"/>
      <c r="IIP11" s="731"/>
      <c r="IIT11" s="731"/>
      <c r="IIX11" s="731"/>
      <c r="IJB11" s="731"/>
      <c r="IJF11" s="731"/>
      <c r="IJJ11" s="731"/>
      <c r="IJN11" s="731"/>
      <c r="IJR11" s="731"/>
      <c r="IJV11" s="731"/>
      <c r="IJZ11" s="731"/>
      <c r="IKD11" s="731"/>
      <c r="IKH11" s="731"/>
      <c r="IKL11" s="731"/>
      <c r="IKP11" s="731"/>
      <c r="IKT11" s="731"/>
      <c r="IKX11" s="731"/>
      <c r="ILB11" s="731"/>
      <c r="ILF11" s="731"/>
      <c r="ILJ11" s="731"/>
      <c r="ILN11" s="731"/>
      <c r="ILR11" s="731"/>
      <c r="ILV11" s="731"/>
      <c r="ILZ11" s="731"/>
      <c r="IMD11" s="731"/>
      <c r="IMH11" s="731"/>
      <c r="IML11" s="731"/>
      <c r="IMP11" s="731"/>
      <c r="IMT11" s="731"/>
      <c r="IMX11" s="731"/>
      <c r="INB11" s="731"/>
      <c r="INF11" s="731"/>
      <c r="INJ11" s="731"/>
      <c r="INN11" s="731"/>
      <c r="INR11" s="731"/>
      <c r="INV11" s="731"/>
      <c r="INZ11" s="731"/>
      <c r="IOD11" s="731"/>
      <c r="IOH11" s="731"/>
      <c r="IOL11" s="731"/>
      <c r="IOP11" s="731"/>
      <c r="IOT11" s="731"/>
      <c r="IOX11" s="731"/>
      <c r="IPB11" s="731"/>
      <c r="IPF11" s="731"/>
      <c r="IPJ11" s="731"/>
      <c r="IPN11" s="731"/>
      <c r="IPR11" s="731"/>
      <c r="IPV11" s="731"/>
      <c r="IPZ11" s="731"/>
      <c r="IQD11" s="731"/>
      <c r="IQH11" s="731"/>
      <c r="IQL11" s="731"/>
      <c r="IQP11" s="731"/>
      <c r="IQT11" s="731"/>
      <c r="IQX11" s="731"/>
      <c r="IRB11" s="731"/>
      <c r="IRF11" s="731"/>
      <c r="IRJ11" s="731"/>
      <c r="IRN11" s="731"/>
      <c r="IRR11" s="731"/>
      <c r="IRV11" s="731"/>
      <c r="IRZ11" s="731"/>
      <c r="ISD11" s="731"/>
      <c r="ISH11" s="731"/>
      <c r="ISL11" s="731"/>
      <c r="ISP11" s="731"/>
      <c r="IST11" s="731"/>
      <c r="ISX11" s="731"/>
      <c r="ITB11" s="731"/>
      <c r="ITF11" s="731"/>
      <c r="ITJ11" s="731"/>
      <c r="ITN11" s="731"/>
      <c r="ITR11" s="731"/>
      <c r="ITV11" s="731"/>
      <c r="ITZ11" s="731"/>
      <c r="IUD11" s="731"/>
      <c r="IUH11" s="731"/>
      <c r="IUL11" s="731"/>
      <c r="IUP11" s="731"/>
      <c r="IUT11" s="731"/>
      <c r="IUX11" s="731"/>
      <c r="IVB11" s="731"/>
      <c r="IVF11" s="731"/>
      <c r="IVJ11" s="731"/>
      <c r="IVN11" s="731"/>
      <c r="IVR11" s="731"/>
      <c r="IVV11" s="731"/>
      <c r="IVZ11" s="731"/>
      <c r="IWD11" s="731"/>
      <c r="IWH11" s="731"/>
      <c r="IWL11" s="731"/>
      <c r="IWP11" s="731"/>
      <c r="IWT11" s="731"/>
      <c r="IWX11" s="731"/>
      <c r="IXB11" s="731"/>
      <c r="IXF11" s="731"/>
      <c r="IXJ11" s="731"/>
      <c r="IXN11" s="731"/>
      <c r="IXR11" s="731"/>
      <c r="IXV11" s="731"/>
      <c r="IXZ11" s="731"/>
      <c r="IYD11" s="731"/>
      <c r="IYH11" s="731"/>
      <c r="IYL11" s="731"/>
      <c r="IYP11" s="731"/>
      <c r="IYT11" s="731"/>
      <c r="IYX11" s="731"/>
      <c r="IZB11" s="731"/>
      <c r="IZF11" s="731"/>
      <c r="IZJ11" s="731"/>
      <c r="IZN11" s="731"/>
      <c r="IZR11" s="731"/>
      <c r="IZV11" s="731"/>
      <c r="IZZ11" s="731"/>
      <c r="JAD11" s="731"/>
      <c r="JAH11" s="731"/>
      <c r="JAL11" s="731"/>
      <c r="JAP11" s="731"/>
      <c r="JAT11" s="731"/>
      <c r="JAX11" s="731"/>
      <c r="JBB11" s="731"/>
      <c r="JBF11" s="731"/>
      <c r="JBJ11" s="731"/>
      <c r="JBN11" s="731"/>
      <c r="JBR11" s="731"/>
      <c r="JBV11" s="731"/>
      <c r="JBZ11" s="731"/>
      <c r="JCD11" s="731"/>
      <c r="JCH11" s="731"/>
      <c r="JCL11" s="731"/>
      <c r="JCP11" s="731"/>
      <c r="JCT11" s="731"/>
      <c r="JCX11" s="731"/>
      <c r="JDB11" s="731"/>
      <c r="JDF11" s="731"/>
      <c r="JDJ11" s="731"/>
      <c r="JDN11" s="731"/>
      <c r="JDR11" s="731"/>
      <c r="JDV11" s="731"/>
      <c r="JDZ11" s="731"/>
      <c r="JED11" s="731"/>
      <c r="JEH11" s="731"/>
      <c r="JEL11" s="731"/>
      <c r="JEP11" s="731"/>
      <c r="JET11" s="731"/>
      <c r="JEX11" s="731"/>
      <c r="JFB11" s="731"/>
      <c r="JFF11" s="731"/>
      <c r="JFJ11" s="731"/>
      <c r="JFN11" s="731"/>
      <c r="JFR11" s="731"/>
      <c r="JFV11" s="731"/>
      <c r="JFZ11" s="731"/>
      <c r="JGD11" s="731"/>
      <c r="JGH11" s="731"/>
      <c r="JGL11" s="731"/>
      <c r="JGP11" s="731"/>
      <c r="JGT11" s="731"/>
      <c r="JGX11" s="731"/>
      <c r="JHB11" s="731"/>
      <c r="JHF11" s="731"/>
      <c r="JHJ11" s="731"/>
      <c r="JHN11" s="731"/>
      <c r="JHR11" s="731"/>
      <c r="JHV11" s="731"/>
      <c r="JHZ11" s="731"/>
      <c r="JID11" s="731"/>
      <c r="JIH11" s="731"/>
      <c r="JIL11" s="731"/>
      <c r="JIP11" s="731"/>
      <c r="JIT11" s="731"/>
      <c r="JIX11" s="731"/>
      <c r="JJB11" s="731"/>
      <c r="JJF11" s="731"/>
      <c r="JJJ11" s="731"/>
      <c r="JJN11" s="731"/>
      <c r="JJR11" s="731"/>
      <c r="JJV11" s="731"/>
      <c r="JJZ11" s="731"/>
      <c r="JKD11" s="731"/>
      <c r="JKH11" s="731"/>
      <c r="JKL11" s="731"/>
      <c r="JKP11" s="731"/>
      <c r="JKT11" s="731"/>
      <c r="JKX11" s="731"/>
      <c r="JLB11" s="731"/>
      <c r="JLF11" s="731"/>
      <c r="JLJ11" s="731"/>
      <c r="JLN11" s="731"/>
      <c r="JLR11" s="731"/>
      <c r="JLV11" s="731"/>
      <c r="JLZ11" s="731"/>
      <c r="JMD11" s="731"/>
      <c r="JMH11" s="731"/>
      <c r="JML11" s="731"/>
      <c r="JMP11" s="731"/>
      <c r="JMT11" s="731"/>
      <c r="JMX11" s="731"/>
      <c r="JNB11" s="731"/>
      <c r="JNF11" s="731"/>
      <c r="JNJ11" s="731"/>
      <c r="JNN11" s="731"/>
      <c r="JNR11" s="731"/>
      <c r="JNV11" s="731"/>
      <c r="JNZ11" s="731"/>
      <c r="JOD11" s="731"/>
      <c r="JOH11" s="731"/>
      <c r="JOL11" s="731"/>
      <c r="JOP11" s="731"/>
      <c r="JOT11" s="731"/>
      <c r="JOX11" s="731"/>
      <c r="JPB11" s="731"/>
      <c r="JPF11" s="731"/>
      <c r="JPJ11" s="731"/>
      <c r="JPN11" s="731"/>
      <c r="JPR11" s="731"/>
      <c r="JPV11" s="731"/>
      <c r="JPZ11" s="731"/>
      <c r="JQD11" s="731"/>
      <c r="JQH11" s="731"/>
      <c r="JQL11" s="731"/>
      <c r="JQP11" s="731"/>
      <c r="JQT11" s="731"/>
      <c r="JQX11" s="731"/>
      <c r="JRB11" s="731"/>
      <c r="JRF11" s="731"/>
      <c r="JRJ11" s="731"/>
      <c r="JRN11" s="731"/>
      <c r="JRR11" s="731"/>
      <c r="JRV11" s="731"/>
      <c r="JRZ11" s="731"/>
      <c r="JSD11" s="731"/>
      <c r="JSH11" s="731"/>
      <c r="JSL11" s="731"/>
      <c r="JSP11" s="731"/>
      <c r="JST11" s="731"/>
      <c r="JSX11" s="731"/>
      <c r="JTB11" s="731"/>
      <c r="JTF11" s="731"/>
      <c r="JTJ11" s="731"/>
      <c r="JTN11" s="731"/>
      <c r="JTR11" s="731"/>
      <c r="JTV11" s="731"/>
      <c r="JTZ11" s="731"/>
      <c r="JUD11" s="731"/>
      <c r="JUH11" s="731"/>
      <c r="JUL11" s="731"/>
      <c r="JUP11" s="731"/>
      <c r="JUT11" s="731"/>
      <c r="JUX11" s="731"/>
      <c r="JVB11" s="731"/>
      <c r="JVF11" s="731"/>
      <c r="JVJ11" s="731"/>
      <c r="JVN11" s="731"/>
      <c r="JVR11" s="731"/>
      <c r="JVV11" s="731"/>
      <c r="JVZ11" s="731"/>
      <c r="JWD11" s="731"/>
      <c r="JWH11" s="731"/>
      <c r="JWL11" s="731"/>
      <c r="JWP11" s="731"/>
      <c r="JWT11" s="731"/>
      <c r="JWX11" s="731"/>
      <c r="JXB11" s="731"/>
      <c r="JXF11" s="731"/>
      <c r="JXJ11" s="731"/>
      <c r="JXN11" s="731"/>
      <c r="JXR11" s="731"/>
      <c r="JXV11" s="731"/>
      <c r="JXZ11" s="731"/>
      <c r="JYD11" s="731"/>
      <c r="JYH11" s="731"/>
      <c r="JYL11" s="731"/>
      <c r="JYP11" s="731"/>
      <c r="JYT11" s="731"/>
      <c r="JYX11" s="731"/>
      <c r="JZB11" s="731"/>
      <c r="JZF11" s="731"/>
      <c r="JZJ11" s="731"/>
      <c r="JZN11" s="731"/>
      <c r="JZR11" s="731"/>
      <c r="JZV11" s="731"/>
      <c r="JZZ11" s="731"/>
      <c r="KAD11" s="731"/>
      <c r="KAH11" s="731"/>
      <c r="KAL11" s="731"/>
      <c r="KAP11" s="731"/>
      <c r="KAT11" s="731"/>
      <c r="KAX11" s="731"/>
      <c r="KBB11" s="731"/>
      <c r="KBF11" s="731"/>
      <c r="KBJ11" s="731"/>
      <c r="KBN11" s="731"/>
      <c r="KBR11" s="731"/>
      <c r="KBV11" s="731"/>
      <c r="KBZ11" s="731"/>
      <c r="KCD11" s="731"/>
      <c r="KCH11" s="731"/>
      <c r="KCL11" s="731"/>
      <c r="KCP11" s="731"/>
      <c r="KCT11" s="731"/>
      <c r="KCX11" s="731"/>
      <c r="KDB11" s="731"/>
      <c r="KDF11" s="731"/>
      <c r="KDJ11" s="731"/>
      <c r="KDN11" s="731"/>
      <c r="KDR11" s="731"/>
      <c r="KDV11" s="731"/>
      <c r="KDZ11" s="731"/>
      <c r="KED11" s="731"/>
      <c r="KEH11" s="731"/>
      <c r="KEL11" s="731"/>
      <c r="KEP11" s="731"/>
      <c r="KET11" s="731"/>
      <c r="KEX11" s="731"/>
      <c r="KFB11" s="731"/>
      <c r="KFF11" s="731"/>
      <c r="KFJ11" s="731"/>
      <c r="KFN11" s="731"/>
      <c r="KFR11" s="731"/>
      <c r="KFV11" s="731"/>
      <c r="KFZ11" s="731"/>
      <c r="KGD11" s="731"/>
      <c r="KGH11" s="731"/>
      <c r="KGL11" s="731"/>
      <c r="KGP11" s="731"/>
      <c r="KGT11" s="731"/>
      <c r="KGX11" s="731"/>
      <c r="KHB11" s="731"/>
      <c r="KHF11" s="731"/>
      <c r="KHJ11" s="731"/>
      <c r="KHN11" s="731"/>
      <c r="KHR11" s="731"/>
      <c r="KHV11" s="731"/>
      <c r="KHZ11" s="731"/>
      <c r="KID11" s="731"/>
      <c r="KIH11" s="731"/>
      <c r="KIL11" s="731"/>
      <c r="KIP11" s="731"/>
      <c r="KIT11" s="731"/>
      <c r="KIX11" s="731"/>
      <c r="KJB11" s="731"/>
      <c r="KJF11" s="731"/>
      <c r="KJJ11" s="731"/>
      <c r="KJN11" s="731"/>
      <c r="KJR11" s="731"/>
      <c r="KJV11" s="731"/>
      <c r="KJZ11" s="731"/>
      <c r="KKD11" s="731"/>
      <c r="KKH11" s="731"/>
      <c r="KKL11" s="731"/>
      <c r="KKP11" s="731"/>
      <c r="KKT11" s="731"/>
      <c r="KKX11" s="731"/>
      <c r="KLB11" s="731"/>
      <c r="KLF11" s="731"/>
      <c r="KLJ11" s="731"/>
      <c r="KLN11" s="731"/>
      <c r="KLR11" s="731"/>
      <c r="KLV11" s="731"/>
      <c r="KLZ11" s="731"/>
      <c r="KMD11" s="731"/>
      <c r="KMH11" s="731"/>
      <c r="KML11" s="731"/>
      <c r="KMP11" s="731"/>
      <c r="KMT11" s="731"/>
      <c r="KMX11" s="731"/>
      <c r="KNB11" s="731"/>
      <c r="KNF11" s="731"/>
      <c r="KNJ11" s="731"/>
      <c r="KNN11" s="731"/>
      <c r="KNR11" s="731"/>
      <c r="KNV11" s="731"/>
      <c r="KNZ11" s="731"/>
      <c r="KOD11" s="731"/>
      <c r="KOH11" s="731"/>
      <c r="KOL11" s="731"/>
      <c r="KOP11" s="731"/>
      <c r="KOT11" s="731"/>
      <c r="KOX11" s="731"/>
      <c r="KPB11" s="731"/>
      <c r="KPF11" s="731"/>
      <c r="KPJ11" s="731"/>
      <c r="KPN11" s="731"/>
      <c r="KPR11" s="731"/>
      <c r="KPV11" s="731"/>
      <c r="KPZ11" s="731"/>
      <c r="KQD11" s="731"/>
      <c r="KQH11" s="731"/>
      <c r="KQL11" s="731"/>
      <c r="KQP11" s="731"/>
      <c r="KQT11" s="731"/>
      <c r="KQX11" s="731"/>
      <c r="KRB11" s="731"/>
      <c r="KRF11" s="731"/>
      <c r="KRJ11" s="731"/>
      <c r="KRN11" s="731"/>
      <c r="KRR11" s="731"/>
      <c r="KRV11" s="731"/>
      <c r="KRZ11" s="731"/>
      <c r="KSD11" s="731"/>
      <c r="KSH11" s="731"/>
      <c r="KSL11" s="731"/>
      <c r="KSP11" s="731"/>
      <c r="KST11" s="731"/>
      <c r="KSX11" s="731"/>
      <c r="KTB11" s="731"/>
      <c r="KTF11" s="731"/>
      <c r="KTJ11" s="731"/>
      <c r="KTN11" s="731"/>
      <c r="KTR11" s="731"/>
      <c r="KTV11" s="731"/>
      <c r="KTZ11" s="731"/>
      <c r="KUD11" s="731"/>
      <c r="KUH11" s="731"/>
      <c r="KUL11" s="731"/>
      <c r="KUP11" s="731"/>
      <c r="KUT11" s="731"/>
      <c r="KUX11" s="731"/>
      <c r="KVB11" s="731"/>
      <c r="KVF11" s="731"/>
      <c r="KVJ11" s="731"/>
      <c r="KVN11" s="731"/>
      <c r="KVR11" s="731"/>
      <c r="KVV11" s="731"/>
      <c r="KVZ11" s="731"/>
      <c r="KWD11" s="731"/>
      <c r="KWH11" s="731"/>
      <c r="KWL11" s="731"/>
      <c r="KWP11" s="731"/>
      <c r="KWT11" s="731"/>
      <c r="KWX11" s="731"/>
      <c r="KXB11" s="731"/>
      <c r="KXF11" s="731"/>
      <c r="KXJ11" s="731"/>
      <c r="KXN11" s="731"/>
      <c r="KXR11" s="731"/>
      <c r="KXV11" s="731"/>
      <c r="KXZ11" s="731"/>
      <c r="KYD11" s="731"/>
      <c r="KYH11" s="731"/>
      <c r="KYL11" s="731"/>
      <c r="KYP11" s="731"/>
      <c r="KYT11" s="731"/>
      <c r="KYX11" s="731"/>
      <c r="KZB11" s="731"/>
      <c r="KZF11" s="731"/>
      <c r="KZJ11" s="731"/>
      <c r="KZN11" s="731"/>
      <c r="KZR11" s="731"/>
      <c r="KZV11" s="731"/>
      <c r="KZZ11" s="731"/>
      <c r="LAD11" s="731"/>
      <c r="LAH11" s="731"/>
      <c r="LAL11" s="731"/>
      <c r="LAP11" s="731"/>
      <c r="LAT11" s="731"/>
      <c r="LAX11" s="731"/>
      <c r="LBB11" s="731"/>
      <c r="LBF11" s="731"/>
      <c r="LBJ11" s="731"/>
      <c r="LBN11" s="731"/>
      <c r="LBR11" s="731"/>
      <c r="LBV11" s="731"/>
      <c r="LBZ11" s="731"/>
      <c r="LCD11" s="731"/>
      <c r="LCH11" s="731"/>
      <c r="LCL11" s="731"/>
      <c r="LCP11" s="731"/>
      <c r="LCT11" s="731"/>
      <c r="LCX11" s="731"/>
      <c r="LDB11" s="731"/>
      <c r="LDF11" s="731"/>
      <c r="LDJ11" s="731"/>
      <c r="LDN11" s="731"/>
      <c r="LDR11" s="731"/>
      <c r="LDV11" s="731"/>
      <c r="LDZ11" s="731"/>
      <c r="LED11" s="731"/>
      <c r="LEH11" s="731"/>
      <c r="LEL11" s="731"/>
      <c r="LEP11" s="731"/>
      <c r="LET11" s="731"/>
      <c r="LEX11" s="731"/>
      <c r="LFB11" s="731"/>
      <c r="LFF11" s="731"/>
      <c r="LFJ11" s="731"/>
      <c r="LFN11" s="731"/>
      <c r="LFR11" s="731"/>
      <c r="LFV11" s="731"/>
      <c r="LFZ11" s="731"/>
      <c r="LGD11" s="731"/>
      <c r="LGH11" s="731"/>
      <c r="LGL11" s="731"/>
      <c r="LGP11" s="731"/>
      <c r="LGT11" s="731"/>
      <c r="LGX11" s="731"/>
      <c r="LHB11" s="731"/>
      <c r="LHF11" s="731"/>
      <c r="LHJ11" s="731"/>
      <c r="LHN11" s="731"/>
      <c r="LHR11" s="731"/>
      <c r="LHV11" s="731"/>
      <c r="LHZ11" s="731"/>
      <c r="LID11" s="731"/>
      <c r="LIH11" s="731"/>
      <c r="LIL11" s="731"/>
      <c r="LIP11" s="731"/>
      <c r="LIT11" s="731"/>
      <c r="LIX11" s="731"/>
      <c r="LJB11" s="731"/>
      <c r="LJF11" s="731"/>
      <c r="LJJ11" s="731"/>
      <c r="LJN11" s="731"/>
      <c r="LJR11" s="731"/>
      <c r="LJV11" s="731"/>
      <c r="LJZ11" s="731"/>
      <c r="LKD11" s="731"/>
      <c r="LKH11" s="731"/>
      <c r="LKL11" s="731"/>
      <c r="LKP11" s="731"/>
      <c r="LKT11" s="731"/>
      <c r="LKX11" s="731"/>
      <c r="LLB11" s="731"/>
      <c r="LLF11" s="731"/>
      <c r="LLJ11" s="731"/>
      <c r="LLN11" s="731"/>
      <c r="LLR11" s="731"/>
      <c r="LLV11" s="731"/>
      <c r="LLZ11" s="731"/>
      <c r="LMD11" s="731"/>
      <c r="LMH11" s="731"/>
      <c r="LML11" s="731"/>
      <c r="LMP11" s="731"/>
      <c r="LMT11" s="731"/>
      <c r="LMX11" s="731"/>
      <c r="LNB11" s="731"/>
      <c r="LNF11" s="731"/>
      <c r="LNJ11" s="731"/>
      <c r="LNN11" s="731"/>
      <c r="LNR11" s="731"/>
      <c r="LNV11" s="731"/>
      <c r="LNZ11" s="731"/>
      <c r="LOD11" s="731"/>
      <c r="LOH11" s="731"/>
      <c r="LOL11" s="731"/>
      <c r="LOP11" s="731"/>
      <c r="LOT11" s="731"/>
      <c r="LOX11" s="731"/>
      <c r="LPB11" s="731"/>
      <c r="LPF11" s="731"/>
      <c r="LPJ11" s="731"/>
      <c r="LPN11" s="731"/>
      <c r="LPR11" s="731"/>
      <c r="LPV11" s="731"/>
      <c r="LPZ11" s="731"/>
      <c r="LQD11" s="731"/>
      <c r="LQH11" s="731"/>
      <c r="LQL11" s="731"/>
      <c r="LQP11" s="731"/>
      <c r="LQT11" s="731"/>
      <c r="LQX11" s="731"/>
      <c r="LRB11" s="731"/>
      <c r="LRF11" s="731"/>
      <c r="LRJ11" s="731"/>
      <c r="LRN11" s="731"/>
      <c r="LRR11" s="731"/>
      <c r="LRV11" s="731"/>
      <c r="LRZ11" s="731"/>
      <c r="LSD11" s="731"/>
      <c r="LSH11" s="731"/>
      <c r="LSL11" s="731"/>
      <c r="LSP11" s="731"/>
      <c r="LST11" s="731"/>
      <c r="LSX11" s="731"/>
      <c r="LTB11" s="731"/>
      <c r="LTF11" s="731"/>
      <c r="LTJ11" s="731"/>
      <c r="LTN11" s="731"/>
      <c r="LTR11" s="731"/>
      <c r="LTV11" s="731"/>
      <c r="LTZ11" s="731"/>
      <c r="LUD11" s="731"/>
      <c r="LUH11" s="731"/>
      <c r="LUL11" s="731"/>
      <c r="LUP11" s="731"/>
      <c r="LUT11" s="731"/>
      <c r="LUX11" s="731"/>
      <c r="LVB11" s="731"/>
      <c r="LVF11" s="731"/>
      <c r="LVJ11" s="731"/>
      <c r="LVN11" s="731"/>
      <c r="LVR11" s="731"/>
      <c r="LVV11" s="731"/>
      <c r="LVZ11" s="731"/>
      <c r="LWD11" s="731"/>
      <c r="LWH11" s="731"/>
      <c r="LWL11" s="731"/>
      <c r="LWP11" s="731"/>
      <c r="LWT11" s="731"/>
      <c r="LWX11" s="731"/>
      <c r="LXB11" s="731"/>
      <c r="LXF11" s="731"/>
      <c r="LXJ11" s="731"/>
      <c r="LXN11" s="731"/>
      <c r="LXR11" s="731"/>
      <c r="LXV11" s="731"/>
      <c r="LXZ11" s="731"/>
      <c r="LYD11" s="731"/>
      <c r="LYH11" s="731"/>
      <c r="LYL11" s="731"/>
      <c r="LYP11" s="731"/>
      <c r="LYT11" s="731"/>
      <c r="LYX11" s="731"/>
      <c r="LZB11" s="731"/>
      <c r="LZF11" s="731"/>
      <c r="LZJ11" s="731"/>
      <c r="LZN11" s="731"/>
      <c r="LZR11" s="731"/>
      <c r="LZV11" s="731"/>
      <c r="LZZ11" s="731"/>
      <c r="MAD11" s="731"/>
      <c r="MAH11" s="731"/>
      <c r="MAL11" s="731"/>
      <c r="MAP11" s="731"/>
      <c r="MAT11" s="731"/>
      <c r="MAX11" s="731"/>
      <c r="MBB11" s="731"/>
      <c r="MBF11" s="731"/>
      <c r="MBJ11" s="731"/>
      <c r="MBN11" s="731"/>
      <c r="MBR11" s="731"/>
      <c r="MBV11" s="731"/>
      <c r="MBZ11" s="731"/>
      <c r="MCD11" s="731"/>
      <c r="MCH11" s="731"/>
      <c r="MCL11" s="731"/>
      <c r="MCP11" s="731"/>
      <c r="MCT11" s="731"/>
      <c r="MCX11" s="731"/>
      <c r="MDB11" s="731"/>
      <c r="MDF11" s="731"/>
      <c r="MDJ11" s="731"/>
      <c r="MDN11" s="731"/>
      <c r="MDR11" s="731"/>
      <c r="MDV11" s="731"/>
      <c r="MDZ11" s="731"/>
      <c r="MED11" s="731"/>
      <c r="MEH11" s="731"/>
      <c r="MEL11" s="731"/>
      <c r="MEP11" s="731"/>
      <c r="MET11" s="731"/>
      <c r="MEX11" s="731"/>
      <c r="MFB11" s="731"/>
      <c r="MFF11" s="731"/>
      <c r="MFJ11" s="731"/>
      <c r="MFN11" s="731"/>
      <c r="MFR11" s="731"/>
      <c r="MFV11" s="731"/>
      <c r="MFZ11" s="731"/>
      <c r="MGD11" s="731"/>
      <c r="MGH11" s="731"/>
      <c r="MGL11" s="731"/>
      <c r="MGP11" s="731"/>
      <c r="MGT11" s="731"/>
      <c r="MGX11" s="731"/>
      <c r="MHB11" s="731"/>
      <c r="MHF11" s="731"/>
      <c r="MHJ11" s="731"/>
      <c r="MHN11" s="731"/>
      <c r="MHR11" s="731"/>
      <c r="MHV11" s="731"/>
      <c r="MHZ11" s="731"/>
      <c r="MID11" s="731"/>
      <c r="MIH11" s="731"/>
      <c r="MIL11" s="731"/>
      <c r="MIP11" s="731"/>
      <c r="MIT11" s="731"/>
      <c r="MIX11" s="731"/>
      <c r="MJB11" s="731"/>
      <c r="MJF11" s="731"/>
      <c r="MJJ11" s="731"/>
      <c r="MJN11" s="731"/>
      <c r="MJR11" s="731"/>
      <c r="MJV11" s="731"/>
      <c r="MJZ11" s="731"/>
      <c r="MKD11" s="731"/>
      <c r="MKH11" s="731"/>
      <c r="MKL11" s="731"/>
      <c r="MKP11" s="731"/>
      <c r="MKT11" s="731"/>
      <c r="MKX11" s="731"/>
      <c r="MLB11" s="731"/>
      <c r="MLF11" s="731"/>
      <c r="MLJ11" s="731"/>
      <c r="MLN11" s="731"/>
      <c r="MLR11" s="731"/>
      <c r="MLV11" s="731"/>
      <c r="MLZ11" s="731"/>
      <c r="MMD11" s="731"/>
      <c r="MMH11" s="731"/>
      <c r="MML11" s="731"/>
      <c r="MMP11" s="731"/>
      <c r="MMT11" s="731"/>
      <c r="MMX11" s="731"/>
      <c r="MNB11" s="731"/>
      <c r="MNF11" s="731"/>
      <c r="MNJ11" s="731"/>
      <c r="MNN11" s="731"/>
      <c r="MNR11" s="731"/>
      <c r="MNV11" s="731"/>
      <c r="MNZ11" s="731"/>
      <c r="MOD11" s="731"/>
      <c r="MOH11" s="731"/>
      <c r="MOL11" s="731"/>
      <c r="MOP11" s="731"/>
      <c r="MOT11" s="731"/>
      <c r="MOX11" s="731"/>
      <c r="MPB11" s="731"/>
      <c r="MPF11" s="731"/>
      <c r="MPJ11" s="731"/>
      <c r="MPN11" s="731"/>
      <c r="MPR11" s="731"/>
      <c r="MPV11" s="731"/>
      <c r="MPZ11" s="731"/>
      <c r="MQD11" s="731"/>
      <c r="MQH11" s="731"/>
      <c r="MQL11" s="731"/>
      <c r="MQP11" s="731"/>
      <c r="MQT11" s="731"/>
      <c r="MQX11" s="731"/>
      <c r="MRB11" s="731"/>
      <c r="MRF11" s="731"/>
      <c r="MRJ11" s="731"/>
      <c r="MRN11" s="731"/>
      <c r="MRR11" s="731"/>
      <c r="MRV11" s="731"/>
      <c r="MRZ11" s="731"/>
      <c r="MSD11" s="731"/>
      <c r="MSH11" s="731"/>
      <c r="MSL11" s="731"/>
      <c r="MSP11" s="731"/>
      <c r="MST11" s="731"/>
      <c r="MSX11" s="731"/>
      <c r="MTB11" s="731"/>
      <c r="MTF11" s="731"/>
      <c r="MTJ11" s="731"/>
      <c r="MTN11" s="731"/>
      <c r="MTR11" s="731"/>
      <c r="MTV11" s="731"/>
      <c r="MTZ11" s="731"/>
      <c r="MUD11" s="731"/>
      <c r="MUH11" s="731"/>
      <c r="MUL11" s="731"/>
      <c r="MUP11" s="731"/>
      <c r="MUT11" s="731"/>
      <c r="MUX11" s="731"/>
      <c r="MVB11" s="731"/>
      <c r="MVF11" s="731"/>
      <c r="MVJ11" s="731"/>
      <c r="MVN11" s="731"/>
      <c r="MVR11" s="731"/>
      <c r="MVV11" s="731"/>
      <c r="MVZ11" s="731"/>
      <c r="MWD11" s="731"/>
      <c r="MWH11" s="731"/>
      <c r="MWL11" s="731"/>
      <c r="MWP11" s="731"/>
      <c r="MWT11" s="731"/>
      <c r="MWX11" s="731"/>
      <c r="MXB11" s="731"/>
      <c r="MXF11" s="731"/>
      <c r="MXJ11" s="731"/>
      <c r="MXN11" s="731"/>
      <c r="MXR11" s="731"/>
      <c r="MXV11" s="731"/>
      <c r="MXZ11" s="731"/>
      <c r="MYD11" s="731"/>
      <c r="MYH11" s="731"/>
      <c r="MYL11" s="731"/>
      <c r="MYP11" s="731"/>
      <c r="MYT11" s="731"/>
      <c r="MYX11" s="731"/>
      <c r="MZB11" s="731"/>
      <c r="MZF11" s="731"/>
      <c r="MZJ11" s="731"/>
      <c r="MZN11" s="731"/>
      <c r="MZR11" s="731"/>
      <c r="MZV11" s="731"/>
      <c r="MZZ11" s="731"/>
      <c r="NAD11" s="731"/>
      <c r="NAH11" s="731"/>
      <c r="NAL11" s="731"/>
      <c r="NAP11" s="731"/>
      <c r="NAT11" s="731"/>
      <c r="NAX11" s="731"/>
      <c r="NBB11" s="731"/>
      <c r="NBF11" s="731"/>
      <c r="NBJ11" s="731"/>
      <c r="NBN11" s="731"/>
      <c r="NBR11" s="731"/>
      <c r="NBV11" s="731"/>
      <c r="NBZ11" s="731"/>
      <c r="NCD11" s="731"/>
      <c r="NCH11" s="731"/>
      <c r="NCL11" s="731"/>
      <c r="NCP11" s="731"/>
      <c r="NCT11" s="731"/>
      <c r="NCX11" s="731"/>
      <c r="NDB11" s="731"/>
      <c r="NDF11" s="731"/>
      <c r="NDJ11" s="731"/>
      <c r="NDN11" s="731"/>
      <c r="NDR11" s="731"/>
      <c r="NDV11" s="731"/>
      <c r="NDZ11" s="731"/>
      <c r="NED11" s="731"/>
      <c r="NEH11" s="731"/>
      <c r="NEL11" s="731"/>
      <c r="NEP11" s="731"/>
      <c r="NET11" s="731"/>
      <c r="NEX11" s="731"/>
      <c r="NFB11" s="731"/>
      <c r="NFF11" s="731"/>
      <c r="NFJ11" s="731"/>
      <c r="NFN11" s="731"/>
      <c r="NFR11" s="731"/>
      <c r="NFV11" s="731"/>
      <c r="NFZ11" s="731"/>
      <c r="NGD11" s="731"/>
      <c r="NGH11" s="731"/>
      <c r="NGL11" s="731"/>
      <c r="NGP11" s="731"/>
      <c r="NGT11" s="731"/>
      <c r="NGX11" s="731"/>
      <c r="NHB11" s="731"/>
      <c r="NHF11" s="731"/>
      <c r="NHJ11" s="731"/>
      <c r="NHN11" s="731"/>
      <c r="NHR11" s="731"/>
      <c r="NHV11" s="731"/>
      <c r="NHZ11" s="731"/>
      <c r="NID11" s="731"/>
      <c r="NIH11" s="731"/>
      <c r="NIL11" s="731"/>
      <c r="NIP11" s="731"/>
      <c r="NIT11" s="731"/>
      <c r="NIX11" s="731"/>
      <c r="NJB11" s="731"/>
      <c r="NJF11" s="731"/>
      <c r="NJJ11" s="731"/>
      <c r="NJN11" s="731"/>
      <c r="NJR11" s="731"/>
      <c r="NJV11" s="731"/>
      <c r="NJZ11" s="731"/>
      <c r="NKD11" s="731"/>
      <c r="NKH11" s="731"/>
      <c r="NKL11" s="731"/>
      <c r="NKP11" s="731"/>
      <c r="NKT11" s="731"/>
      <c r="NKX11" s="731"/>
      <c r="NLB11" s="731"/>
      <c r="NLF11" s="731"/>
      <c r="NLJ11" s="731"/>
      <c r="NLN11" s="731"/>
      <c r="NLR11" s="731"/>
      <c r="NLV11" s="731"/>
      <c r="NLZ11" s="731"/>
      <c r="NMD11" s="731"/>
      <c r="NMH11" s="731"/>
      <c r="NML11" s="731"/>
      <c r="NMP11" s="731"/>
      <c r="NMT11" s="731"/>
      <c r="NMX11" s="731"/>
      <c r="NNB11" s="731"/>
      <c r="NNF11" s="731"/>
      <c r="NNJ11" s="731"/>
      <c r="NNN11" s="731"/>
      <c r="NNR11" s="731"/>
      <c r="NNV11" s="731"/>
      <c r="NNZ11" s="731"/>
      <c r="NOD11" s="731"/>
      <c r="NOH11" s="731"/>
      <c r="NOL11" s="731"/>
      <c r="NOP11" s="731"/>
      <c r="NOT11" s="731"/>
      <c r="NOX11" s="731"/>
      <c r="NPB11" s="731"/>
      <c r="NPF11" s="731"/>
      <c r="NPJ11" s="731"/>
      <c r="NPN11" s="731"/>
      <c r="NPR11" s="731"/>
      <c r="NPV11" s="731"/>
      <c r="NPZ11" s="731"/>
      <c r="NQD11" s="731"/>
      <c r="NQH11" s="731"/>
      <c r="NQL11" s="731"/>
      <c r="NQP11" s="731"/>
      <c r="NQT11" s="731"/>
      <c r="NQX11" s="731"/>
      <c r="NRB11" s="731"/>
      <c r="NRF11" s="731"/>
      <c r="NRJ11" s="731"/>
      <c r="NRN11" s="731"/>
      <c r="NRR11" s="731"/>
      <c r="NRV11" s="731"/>
      <c r="NRZ11" s="731"/>
      <c r="NSD11" s="731"/>
      <c r="NSH11" s="731"/>
      <c r="NSL11" s="731"/>
      <c r="NSP11" s="731"/>
      <c r="NST11" s="731"/>
      <c r="NSX11" s="731"/>
      <c r="NTB11" s="731"/>
      <c r="NTF11" s="731"/>
      <c r="NTJ11" s="731"/>
      <c r="NTN11" s="731"/>
      <c r="NTR11" s="731"/>
      <c r="NTV11" s="731"/>
      <c r="NTZ11" s="731"/>
      <c r="NUD11" s="731"/>
      <c r="NUH11" s="731"/>
      <c r="NUL11" s="731"/>
      <c r="NUP11" s="731"/>
      <c r="NUT11" s="731"/>
      <c r="NUX11" s="731"/>
      <c r="NVB11" s="731"/>
      <c r="NVF11" s="731"/>
      <c r="NVJ11" s="731"/>
      <c r="NVN11" s="731"/>
      <c r="NVR11" s="731"/>
      <c r="NVV11" s="731"/>
      <c r="NVZ11" s="731"/>
      <c r="NWD11" s="731"/>
      <c r="NWH11" s="731"/>
      <c r="NWL11" s="731"/>
      <c r="NWP11" s="731"/>
      <c r="NWT11" s="731"/>
      <c r="NWX11" s="731"/>
      <c r="NXB11" s="731"/>
      <c r="NXF11" s="731"/>
      <c r="NXJ11" s="731"/>
      <c r="NXN11" s="731"/>
      <c r="NXR11" s="731"/>
      <c r="NXV11" s="731"/>
      <c r="NXZ11" s="731"/>
      <c r="NYD11" s="731"/>
      <c r="NYH11" s="731"/>
      <c r="NYL11" s="731"/>
      <c r="NYP11" s="731"/>
      <c r="NYT11" s="731"/>
      <c r="NYX11" s="731"/>
      <c r="NZB11" s="731"/>
      <c r="NZF11" s="731"/>
      <c r="NZJ11" s="731"/>
      <c r="NZN11" s="731"/>
      <c r="NZR11" s="731"/>
      <c r="NZV11" s="731"/>
      <c r="NZZ11" s="731"/>
      <c r="OAD11" s="731"/>
      <c r="OAH11" s="731"/>
      <c r="OAL11" s="731"/>
      <c r="OAP11" s="731"/>
      <c r="OAT11" s="731"/>
      <c r="OAX11" s="731"/>
      <c r="OBB11" s="731"/>
      <c r="OBF11" s="731"/>
      <c r="OBJ11" s="731"/>
      <c r="OBN11" s="731"/>
      <c r="OBR11" s="731"/>
      <c r="OBV11" s="731"/>
      <c r="OBZ11" s="731"/>
      <c r="OCD11" s="731"/>
      <c r="OCH11" s="731"/>
      <c r="OCL11" s="731"/>
      <c r="OCP11" s="731"/>
      <c r="OCT11" s="731"/>
      <c r="OCX11" s="731"/>
      <c r="ODB11" s="731"/>
      <c r="ODF11" s="731"/>
      <c r="ODJ11" s="731"/>
      <c r="ODN11" s="731"/>
      <c r="ODR11" s="731"/>
      <c r="ODV11" s="731"/>
      <c r="ODZ11" s="731"/>
      <c r="OED11" s="731"/>
      <c r="OEH11" s="731"/>
      <c r="OEL11" s="731"/>
      <c r="OEP11" s="731"/>
      <c r="OET11" s="731"/>
      <c r="OEX11" s="731"/>
      <c r="OFB11" s="731"/>
      <c r="OFF11" s="731"/>
      <c r="OFJ11" s="731"/>
      <c r="OFN11" s="731"/>
      <c r="OFR11" s="731"/>
      <c r="OFV11" s="731"/>
      <c r="OFZ11" s="731"/>
      <c r="OGD11" s="731"/>
      <c r="OGH11" s="731"/>
      <c r="OGL11" s="731"/>
      <c r="OGP11" s="731"/>
      <c r="OGT11" s="731"/>
      <c r="OGX11" s="731"/>
      <c r="OHB11" s="731"/>
      <c r="OHF11" s="731"/>
      <c r="OHJ11" s="731"/>
      <c r="OHN11" s="731"/>
      <c r="OHR11" s="731"/>
      <c r="OHV11" s="731"/>
      <c r="OHZ11" s="731"/>
      <c r="OID11" s="731"/>
      <c r="OIH11" s="731"/>
      <c r="OIL11" s="731"/>
      <c r="OIP11" s="731"/>
      <c r="OIT11" s="731"/>
      <c r="OIX11" s="731"/>
      <c r="OJB11" s="731"/>
      <c r="OJF11" s="731"/>
      <c r="OJJ11" s="731"/>
      <c r="OJN11" s="731"/>
      <c r="OJR11" s="731"/>
      <c r="OJV11" s="731"/>
      <c r="OJZ11" s="731"/>
      <c r="OKD11" s="731"/>
      <c r="OKH11" s="731"/>
      <c r="OKL11" s="731"/>
      <c r="OKP11" s="731"/>
      <c r="OKT11" s="731"/>
      <c r="OKX11" s="731"/>
      <c r="OLB11" s="731"/>
      <c r="OLF11" s="731"/>
      <c r="OLJ11" s="731"/>
      <c r="OLN11" s="731"/>
      <c r="OLR11" s="731"/>
      <c r="OLV11" s="731"/>
      <c r="OLZ11" s="731"/>
      <c r="OMD11" s="731"/>
      <c r="OMH11" s="731"/>
      <c r="OML11" s="731"/>
      <c r="OMP11" s="731"/>
      <c r="OMT11" s="731"/>
      <c r="OMX11" s="731"/>
      <c r="ONB11" s="731"/>
      <c r="ONF11" s="731"/>
      <c r="ONJ11" s="731"/>
      <c r="ONN11" s="731"/>
      <c r="ONR11" s="731"/>
      <c r="ONV11" s="731"/>
      <c r="ONZ11" s="731"/>
      <c r="OOD11" s="731"/>
      <c r="OOH11" s="731"/>
      <c r="OOL11" s="731"/>
      <c r="OOP11" s="731"/>
      <c r="OOT11" s="731"/>
      <c r="OOX11" s="731"/>
      <c r="OPB11" s="731"/>
      <c r="OPF11" s="731"/>
      <c r="OPJ11" s="731"/>
      <c r="OPN11" s="731"/>
      <c r="OPR11" s="731"/>
      <c r="OPV11" s="731"/>
      <c r="OPZ11" s="731"/>
      <c r="OQD11" s="731"/>
      <c r="OQH11" s="731"/>
      <c r="OQL11" s="731"/>
      <c r="OQP11" s="731"/>
      <c r="OQT11" s="731"/>
      <c r="OQX11" s="731"/>
      <c r="ORB11" s="731"/>
      <c r="ORF11" s="731"/>
      <c r="ORJ11" s="731"/>
      <c r="ORN11" s="731"/>
      <c r="ORR11" s="731"/>
      <c r="ORV11" s="731"/>
      <c r="ORZ11" s="731"/>
      <c r="OSD11" s="731"/>
      <c r="OSH11" s="731"/>
      <c r="OSL11" s="731"/>
      <c r="OSP11" s="731"/>
      <c r="OST11" s="731"/>
      <c r="OSX11" s="731"/>
      <c r="OTB11" s="731"/>
      <c r="OTF11" s="731"/>
      <c r="OTJ11" s="731"/>
      <c r="OTN11" s="731"/>
      <c r="OTR11" s="731"/>
      <c r="OTV11" s="731"/>
      <c r="OTZ11" s="731"/>
      <c r="OUD11" s="731"/>
      <c r="OUH11" s="731"/>
      <c r="OUL11" s="731"/>
      <c r="OUP11" s="731"/>
      <c r="OUT11" s="731"/>
      <c r="OUX11" s="731"/>
      <c r="OVB11" s="731"/>
      <c r="OVF11" s="731"/>
      <c r="OVJ11" s="731"/>
      <c r="OVN11" s="731"/>
      <c r="OVR11" s="731"/>
      <c r="OVV11" s="731"/>
      <c r="OVZ11" s="731"/>
      <c r="OWD11" s="731"/>
      <c r="OWH11" s="731"/>
      <c r="OWL11" s="731"/>
      <c r="OWP11" s="731"/>
      <c r="OWT11" s="731"/>
      <c r="OWX11" s="731"/>
      <c r="OXB11" s="731"/>
      <c r="OXF11" s="731"/>
      <c r="OXJ11" s="731"/>
      <c r="OXN11" s="731"/>
      <c r="OXR11" s="731"/>
      <c r="OXV11" s="731"/>
      <c r="OXZ11" s="731"/>
      <c r="OYD11" s="731"/>
      <c r="OYH11" s="731"/>
      <c r="OYL11" s="731"/>
      <c r="OYP11" s="731"/>
      <c r="OYT11" s="731"/>
      <c r="OYX11" s="731"/>
      <c r="OZB11" s="731"/>
      <c r="OZF11" s="731"/>
      <c r="OZJ11" s="731"/>
      <c r="OZN11" s="731"/>
      <c r="OZR11" s="731"/>
      <c r="OZV11" s="731"/>
      <c r="OZZ11" s="731"/>
      <c r="PAD11" s="731"/>
      <c r="PAH11" s="731"/>
      <c r="PAL11" s="731"/>
      <c r="PAP11" s="731"/>
      <c r="PAT11" s="731"/>
      <c r="PAX11" s="731"/>
      <c r="PBB11" s="731"/>
      <c r="PBF11" s="731"/>
      <c r="PBJ11" s="731"/>
      <c r="PBN11" s="731"/>
      <c r="PBR11" s="731"/>
      <c r="PBV11" s="731"/>
      <c r="PBZ11" s="731"/>
      <c r="PCD11" s="731"/>
      <c r="PCH11" s="731"/>
      <c r="PCL11" s="731"/>
      <c r="PCP11" s="731"/>
      <c r="PCT11" s="731"/>
      <c r="PCX11" s="731"/>
      <c r="PDB11" s="731"/>
      <c r="PDF11" s="731"/>
      <c r="PDJ11" s="731"/>
      <c r="PDN11" s="731"/>
      <c r="PDR11" s="731"/>
      <c r="PDV11" s="731"/>
      <c r="PDZ11" s="731"/>
      <c r="PED11" s="731"/>
      <c r="PEH11" s="731"/>
      <c r="PEL11" s="731"/>
      <c r="PEP11" s="731"/>
      <c r="PET11" s="731"/>
      <c r="PEX11" s="731"/>
      <c r="PFB11" s="731"/>
      <c r="PFF11" s="731"/>
      <c r="PFJ11" s="731"/>
      <c r="PFN11" s="731"/>
      <c r="PFR11" s="731"/>
      <c r="PFV11" s="731"/>
      <c r="PFZ11" s="731"/>
      <c r="PGD11" s="731"/>
      <c r="PGH11" s="731"/>
      <c r="PGL11" s="731"/>
      <c r="PGP11" s="731"/>
      <c r="PGT11" s="731"/>
      <c r="PGX11" s="731"/>
      <c r="PHB11" s="731"/>
      <c r="PHF11" s="731"/>
      <c r="PHJ11" s="731"/>
      <c r="PHN11" s="731"/>
      <c r="PHR11" s="731"/>
      <c r="PHV11" s="731"/>
      <c r="PHZ11" s="731"/>
      <c r="PID11" s="731"/>
      <c r="PIH11" s="731"/>
      <c r="PIL11" s="731"/>
      <c r="PIP11" s="731"/>
      <c r="PIT11" s="731"/>
      <c r="PIX11" s="731"/>
      <c r="PJB11" s="731"/>
      <c r="PJF11" s="731"/>
      <c r="PJJ11" s="731"/>
      <c r="PJN11" s="731"/>
      <c r="PJR11" s="731"/>
      <c r="PJV11" s="731"/>
      <c r="PJZ11" s="731"/>
      <c r="PKD11" s="731"/>
      <c r="PKH11" s="731"/>
      <c r="PKL11" s="731"/>
      <c r="PKP11" s="731"/>
      <c r="PKT11" s="731"/>
      <c r="PKX11" s="731"/>
      <c r="PLB11" s="731"/>
      <c r="PLF11" s="731"/>
      <c r="PLJ11" s="731"/>
      <c r="PLN11" s="731"/>
      <c r="PLR11" s="731"/>
      <c r="PLV11" s="731"/>
      <c r="PLZ11" s="731"/>
      <c r="PMD11" s="731"/>
      <c r="PMH11" s="731"/>
      <c r="PML11" s="731"/>
      <c r="PMP11" s="731"/>
      <c r="PMT11" s="731"/>
      <c r="PMX11" s="731"/>
      <c r="PNB11" s="731"/>
      <c r="PNF11" s="731"/>
      <c r="PNJ11" s="731"/>
      <c r="PNN11" s="731"/>
      <c r="PNR11" s="731"/>
      <c r="PNV11" s="731"/>
      <c r="PNZ11" s="731"/>
      <c r="POD11" s="731"/>
      <c r="POH11" s="731"/>
      <c r="POL11" s="731"/>
      <c r="POP11" s="731"/>
      <c r="POT11" s="731"/>
      <c r="POX11" s="731"/>
      <c r="PPB11" s="731"/>
      <c r="PPF11" s="731"/>
      <c r="PPJ11" s="731"/>
      <c r="PPN11" s="731"/>
      <c r="PPR11" s="731"/>
      <c r="PPV11" s="731"/>
      <c r="PPZ11" s="731"/>
      <c r="PQD11" s="731"/>
      <c r="PQH11" s="731"/>
      <c r="PQL11" s="731"/>
      <c r="PQP11" s="731"/>
      <c r="PQT11" s="731"/>
      <c r="PQX11" s="731"/>
      <c r="PRB11" s="731"/>
      <c r="PRF11" s="731"/>
      <c r="PRJ11" s="731"/>
      <c r="PRN11" s="731"/>
      <c r="PRR11" s="731"/>
      <c r="PRV11" s="731"/>
      <c r="PRZ11" s="731"/>
      <c r="PSD11" s="731"/>
      <c r="PSH11" s="731"/>
      <c r="PSL11" s="731"/>
      <c r="PSP11" s="731"/>
      <c r="PST11" s="731"/>
      <c r="PSX11" s="731"/>
      <c r="PTB11" s="731"/>
      <c r="PTF11" s="731"/>
      <c r="PTJ11" s="731"/>
      <c r="PTN11" s="731"/>
      <c r="PTR11" s="731"/>
      <c r="PTV11" s="731"/>
      <c r="PTZ11" s="731"/>
      <c r="PUD11" s="731"/>
      <c r="PUH11" s="731"/>
      <c r="PUL11" s="731"/>
      <c r="PUP11" s="731"/>
      <c r="PUT11" s="731"/>
      <c r="PUX11" s="731"/>
      <c r="PVB11" s="731"/>
      <c r="PVF11" s="731"/>
      <c r="PVJ11" s="731"/>
      <c r="PVN11" s="731"/>
      <c r="PVR11" s="731"/>
      <c r="PVV11" s="731"/>
      <c r="PVZ11" s="731"/>
      <c r="PWD11" s="731"/>
      <c r="PWH11" s="731"/>
      <c r="PWL11" s="731"/>
      <c r="PWP11" s="731"/>
      <c r="PWT11" s="731"/>
      <c r="PWX11" s="731"/>
      <c r="PXB11" s="731"/>
      <c r="PXF11" s="731"/>
      <c r="PXJ11" s="731"/>
      <c r="PXN11" s="731"/>
      <c r="PXR11" s="731"/>
      <c r="PXV11" s="731"/>
      <c r="PXZ11" s="731"/>
      <c r="PYD11" s="731"/>
      <c r="PYH11" s="731"/>
      <c r="PYL11" s="731"/>
      <c r="PYP11" s="731"/>
      <c r="PYT11" s="731"/>
      <c r="PYX11" s="731"/>
      <c r="PZB11" s="731"/>
      <c r="PZF11" s="731"/>
      <c r="PZJ11" s="731"/>
      <c r="PZN11" s="731"/>
      <c r="PZR11" s="731"/>
      <c r="PZV11" s="731"/>
      <c r="PZZ11" s="731"/>
      <c r="QAD11" s="731"/>
      <c r="QAH11" s="731"/>
      <c r="QAL11" s="731"/>
      <c r="QAP11" s="731"/>
      <c r="QAT11" s="731"/>
      <c r="QAX11" s="731"/>
      <c r="QBB11" s="731"/>
      <c r="QBF11" s="731"/>
      <c r="QBJ11" s="731"/>
      <c r="QBN11" s="731"/>
      <c r="QBR11" s="731"/>
      <c r="QBV11" s="731"/>
      <c r="QBZ11" s="731"/>
      <c r="QCD11" s="731"/>
      <c r="QCH11" s="731"/>
      <c r="QCL11" s="731"/>
      <c r="QCP11" s="731"/>
      <c r="QCT11" s="731"/>
      <c r="QCX11" s="731"/>
      <c r="QDB11" s="731"/>
      <c r="QDF11" s="731"/>
      <c r="QDJ11" s="731"/>
      <c r="QDN11" s="731"/>
      <c r="QDR11" s="731"/>
      <c r="QDV11" s="731"/>
      <c r="QDZ11" s="731"/>
      <c r="QED11" s="731"/>
      <c r="QEH11" s="731"/>
      <c r="QEL11" s="731"/>
      <c r="QEP11" s="731"/>
      <c r="QET11" s="731"/>
      <c r="QEX11" s="731"/>
      <c r="QFB11" s="731"/>
      <c r="QFF11" s="731"/>
      <c r="QFJ11" s="731"/>
      <c r="QFN11" s="731"/>
      <c r="QFR11" s="731"/>
      <c r="QFV11" s="731"/>
      <c r="QFZ11" s="731"/>
      <c r="QGD11" s="731"/>
      <c r="QGH11" s="731"/>
      <c r="QGL11" s="731"/>
      <c r="QGP11" s="731"/>
      <c r="QGT11" s="731"/>
      <c r="QGX11" s="731"/>
      <c r="QHB11" s="731"/>
      <c r="QHF11" s="731"/>
      <c r="QHJ11" s="731"/>
      <c r="QHN11" s="731"/>
      <c r="QHR11" s="731"/>
      <c r="QHV11" s="731"/>
      <c r="QHZ11" s="731"/>
      <c r="QID11" s="731"/>
      <c r="QIH11" s="731"/>
      <c r="QIL11" s="731"/>
      <c r="QIP11" s="731"/>
      <c r="QIT11" s="731"/>
      <c r="QIX11" s="731"/>
      <c r="QJB11" s="731"/>
      <c r="QJF11" s="731"/>
      <c r="QJJ11" s="731"/>
      <c r="QJN11" s="731"/>
      <c r="QJR11" s="731"/>
      <c r="QJV11" s="731"/>
      <c r="QJZ11" s="731"/>
      <c r="QKD11" s="731"/>
      <c r="QKH11" s="731"/>
      <c r="QKL11" s="731"/>
      <c r="QKP11" s="731"/>
      <c r="QKT11" s="731"/>
      <c r="QKX11" s="731"/>
      <c r="QLB11" s="731"/>
      <c r="QLF11" s="731"/>
      <c r="QLJ11" s="731"/>
      <c r="QLN11" s="731"/>
      <c r="QLR11" s="731"/>
      <c r="QLV11" s="731"/>
      <c r="QLZ11" s="731"/>
      <c r="QMD11" s="731"/>
      <c r="QMH11" s="731"/>
      <c r="QML11" s="731"/>
      <c r="QMP11" s="731"/>
      <c r="QMT11" s="731"/>
      <c r="QMX11" s="731"/>
      <c r="QNB11" s="731"/>
      <c r="QNF11" s="731"/>
      <c r="QNJ11" s="731"/>
      <c r="QNN11" s="731"/>
      <c r="QNR11" s="731"/>
      <c r="QNV11" s="731"/>
      <c r="QNZ11" s="731"/>
      <c r="QOD11" s="731"/>
      <c r="QOH11" s="731"/>
      <c r="QOL11" s="731"/>
      <c r="QOP11" s="731"/>
      <c r="QOT11" s="731"/>
      <c r="QOX11" s="731"/>
      <c r="QPB11" s="731"/>
      <c r="QPF11" s="731"/>
      <c r="QPJ11" s="731"/>
      <c r="QPN11" s="731"/>
      <c r="QPR11" s="731"/>
      <c r="QPV11" s="731"/>
      <c r="QPZ11" s="731"/>
      <c r="QQD11" s="731"/>
      <c r="QQH11" s="731"/>
      <c r="QQL11" s="731"/>
      <c r="QQP11" s="731"/>
      <c r="QQT11" s="731"/>
      <c r="QQX11" s="731"/>
      <c r="QRB11" s="731"/>
      <c r="QRF11" s="731"/>
      <c r="QRJ11" s="731"/>
      <c r="QRN11" s="731"/>
      <c r="QRR11" s="731"/>
      <c r="QRV11" s="731"/>
      <c r="QRZ11" s="731"/>
      <c r="QSD11" s="731"/>
      <c r="QSH11" s="731"/>
      <c r="QSL11" s="731"/>
      <c r="QSP11" s="731"/>
      <c r="QST11" s="731"/>
      <c r="QSX11" s="731"/>
      <c r="QTB11" s="731"/>
      <c r="QTF11" s="731"/>
      <c r="QTJ11" s="731"/>
      <c r="QTN11" s="731"/>
      <c r="QTR11" s="731"/>
      <c r="QTV11" s="731"/>
      <c r="QTZ11" s="731"/>
      <c r="QUD11" s="731"/>
      <c r="QUH11" s="731"/>
      <c r="QUL11" s="731"/>
      <c r="QUP11" s="731"/>
      <c r="QUT11" s="731"/>
      <c r="QUX11" s="731"/>
      <c r="QVB11" s="731"/>
      <c r="QVF11" s="731"/>
      <c r="QVJ11" s="731"/>
      <c r="QVN11" s="731"/>
      <c r="QVR11" s="731"/>
      <c r="QVV11" s="731"/>
      <c r="QVZ11" s="731"/>
      <c r="QWD11" s="731"/>
      <c r="QWH11" s="731"/>
      <c r="QWL11" s="731"/>
      <c r="QWP11" s="731"/>
      <c r="QWT11" s="731"/>
      <c r="QWX11" s="731"/>
      <c r="QXB11" s="731"/>
      <c r="QXF11" s="731"/>
      <c r="QXJ11" s="731"/>
      <c r="QXN11" s="731"/>
      <c r="QXR11" s="731"/>
      <c r="QXV11" s="731"/>
      <c r="QXZ11" s="731"/>
      <c r="QYD11" s="731"/>
      <c r="QYH11" s="731"/>
      <c r="QYL11" s="731"/>
      <c r="QYP11" s="731"/>
      <c r="QYT11" s="731"/>
      <c r="QYX11" s="731"/>
      <c r="QZB11" s="731"/>
      <c r="QZF11" s="731"/>
      <c r="QZJ11" s="731"/>
      <c r="QZN11" s="731"/>
      <c r="QZR11" s="731"/>
      <c r="QZV11" s="731"/>
      <c r="QZZ11" s="731"/>
      <c r="RAD11" s="731"/>
      <c r="RAH11" s="731"/>
      <c r="RAL11" s="731"/>
      <c r="RAP11" s="731"/>
      <c r="RAT11" s="731"/>
      <c r="RAX11" s="731"/>
      <c r="RBB11" s="731"/>
      <c r="RBF11" s="731"/>
      <c r="RBJ11" s="731"/>
      <c r="RBN11" s="731"/>
      <c r="RBR11" s="731"/>
      <c r="RBV11" s="731"/>
      <c r="RBZ11" s="731"/>
      <c r="RCD11" s="731"/>
      <c r="RCH11" s="731"/>
      <c r="RCL11" s="731"/>
      <c r="RCP11" s="731"/>
      <c r="RCT11" s="731"/>
      <c r="RCX11" s="731"/>
      <c r="RDB11" s="731"/>
      <c r="RDF11" s="731"/>
      <c r="RDJ11" s="731"/>
      <c r="RDN11" s="731"/>
      <c r="RDR11" s="731"/>
      <c r="RDV11" s="731"/>
      <c r="RDZ11" s="731"/>
      <c r="RED11" s="731"/>
      <c r="REH11" s="731"/>
      <c r="REL11" s="731"/>
      <c r="REP11" s="731"/>
      <c r="RET11" s="731"/>
      <c r="REX11" s="731"/>
      <c r="RFB11" s="731"/>
      <c r="RFF11" s="731"/>
      <c r="RFJ11" s="731"/>
      <c r="RFN11" s="731"/>
      <c r="RFR11" s="731"/>
      <c r="RFV11" s="731"/>
      <c r="RFZ11" s="731"/>
      <c r="RGD11" s="731"/>
      <c r="RGH11" s="731"/>
      <c r="RGL11" s="731"/>
      <c r="RGP11" s="731"/>
      <c r="RGT11" s="731"/>
      <c r="RGX11" s="731"/>
      <c r="RHB11" s="731"/>
      <c r="RHF11" s="731"/>
      <c r="RHJ11" s="731"/>
      <c r="RHN11" s="731"/>
      <c r="RHR11" s="731"/>
      <c r="RHV11" s="731"/>
      <c r="RHZ11" s="731"/>
      <c r="RID11" s="731"/>
      <c r="RIH11" s="731"/>
      <c r="RIL11" s="731"/>
      <c r="RIP11" s="731"/>
      <c r="RIT11" s="731"/>
      <c r="RIX11" s="731"/>
      <c r="RJB11" s="731"/>
      <c r="RJF11" s="731"/>
      <c r="RJJ11" s="731"/>
      <c r="RJN11" s="731"/>
      <c r="RJR11" s="731"/>
      <c r="RJV11" s="731"/>
      <c r="RJZ11" s="731"/>
      <c r="RKD11" s="731"/>
      <c r="RKH11" s="731"/>
      <c r="RKL11" s="731"/>
      <c r="RKP11" s="731"/>
      <c r="RKT11" s="731"/>
      <c r="RKX11" s="731"/>
      <c r="RLB11" s="731"/>
      <c r="RLF11" s="731"/>
      <c r="RLJ11" s="731"/>
      <c r="RLN11" s="731"/>
      <c r="RLR11" s="731"/>
      <c r="RLV11" s="731"/>
      <c r="RLZ11" s="731"/>
      <c r="RMD11" s="731"/>
      <c r="RMH11" s="731"/>
      <c r="RML11" s="731"/>
      <c r="RMP11" s="731"/>
      <c r="RMT11" s="731"/>
      <c r="RMX11" s="731"/>
      <c r="RNB11" s="731"/>
      <c r="RNF11" s="731"/>
      <c r="RNJ11" s="731"/>
      <c r="RNN11" s="731"/>
      <c r="RNR11" s="731"/>
      <c r="RNV11" s="731"/>
      <c r="RNZ11" s="731"/>
      <c r="ROD11" s="731"/>
      <c r="ROH11" s="731"/>
      <c r="ROL11" s="731"/>
      <c r="ROP11" s="731"/>
      <c r="ROT11" s="731"/>
      <c r="ROX11" s="731"/>
      <c r="RPB11" s="731"/>
      <c r="RPF11" s="731"/>
      <c r="RPJ11" s="731"/>
      <c r="RPN11" s="731"/>
      <c r="RPR11" s="731"/>
      <c r="RPV11" s="731"/>
      <c r="RPZ11" s="731"/>
      <c r="RQD11" s="731"/>
      <c r="RQH11" s="731"/>
      <c r="RQL11" s="731"/>
      <c r="RQP11" s="731"/>
      <c r="RQT11" s="731"/>
      <c r="RQX11" s="731"/>
      <c r="RRB11" s="731"/>
      <c r="RRF11" s="731"/>
      <c r="RRJ11" s="731"/>
      <c r="RRN11" s="731"/>
      <c r="RRR11" s="731"/>
      <c r="RRV11" s="731"/>
      <c r="RRZ11" s="731"/>
      <c r="RSD11" s="731"/>
      <c r="RSH11" s="731"/>
      <c r="RSL11" s="731"/>
      <c r="RSP11" s="731"/>
      <c r="RST11" s="731"/>
      <c r="RSX11" s="731"/>
      <c r="RTB11" s="731"/>
      <c r="RTF11" s="731"/>
      <c r="RTJ11" s="731"/>
      <c r="RTN11" s="731"/>
      <c r="RTR11" s="731"/>
      <c r="RTV11" s="731"/>
      <c r="RTZ11" s="731"/>
      <c r="RUD11" s="731"/>
      <c r="RUH11" s="731"/>
      <c r="RUL11" s="731"/>
      <c r="RUP11" s="731"/>
      <c r="RUT11" s="731"/>
      <c r="RUX11" s="731"/>
      <c r="RVB11" s="731"/>
      <c r="RVF11" s="731"/>
      <c r="RVJ11" s="731"/>
      <c r="RVN11" s="731"/>
      <c r="RVR11" s="731"/>
      <c r="RVV11" s="731"/>
      <c r="RVZ11" s="731"/>
      <c r="RWD11" s="731"/>
      <c r="RWH11" s="731"/>
      <c r="RWL11" s="731"/>
      <c r="RWP11" s="731"/>
      <c r="RWT11" s="731"/>
      <c r="RWX11" s="731"/>
      <c r="RXB11" s="731"/>
      <c r="RXF11" s="731"/>
      <c r="RXJ11" s="731"/>
      <c r="RXN11" s="731"/>
      <c r="RXR11" s="731"/>
      <c r="RXV11" s="731"/>
      <c r="RXZ11" s="731"/>
      <c r="RYD11" s="731"/>
      <c r="RYH11" s="731"/>
      <c r="RYL11" s="731"/>
      <c r="RYP11" s="731"/>
      <c r="RYT11" s="731"/>
      <c r="RYX11" s="731"/>
      <c r="RZB11" s="731"/>
      <c r="RZF11" s="731"/>
      <c r="RZJ11" s="731"/>
      <c r="RZN11" s="731"/>
      <c r="RZR11" s="731"/>
      <c r="RZV11" s="731"/>
      <c r="RZZ11" s="731"/>
      <c r="SAD11" s="731"/>
      <c r="SAH11" s="731"/>
      <c r="SAL11" s="731"/>
      <c r="SAP11" s="731"/>
      <c r="SAT11" s="731"/>
      <c r="SAX11" s="731"/>
      <c r="SBB11" s="731"/>
      <c r="SBF11" s="731"/>
      <c r="SBJ11" s="731"/>
      <c r="SBN11" s="731"/>
      <c r="SBR11" s="731"/>
      <c r="SBV11" s="731"/>
      <c r="SBZ11" s="731"/>
      <c r="SCD11" s="731"/>
      <c r="SCH11" s="731"/>
      <c r="SCL11" s="731"/>
      <c r="SCP11" s="731"/>
      <c r="SCT11" s="731"/>
      <c r="SCX11" s="731"/>
      <c r="SDB11" s="731"/>
      <c r="SDF11" s="731"/>
      <c r="SDJ11" s="731"/>
      <c r="SDN11" s="731"/>
      <c r="SDR11" s="731"/>
      <c r="SDV11" s="731"/>
      <c r="SDZ11" s="731"/>
      <c r="SED11" s="731"/>
      <c r="SEH11" s="731"/>
      <c r="SEL11" s="731"/>
      <c r="SEP11" s="731"/>
      <c r="SET11" s="731"/>
      <c r="SEX11" s="731"/>
      <c r="SFB11" s="731"/>
      <c r="SFF11" s="731"/>
      <c r="SFJ11" s="731"/>
      <c r="SFN11" s="731"/>
      <c r="SFR11" s="731"/>
      <c r="SFV11" s="731"/>
      <c r="SFZ11" s="731"/>
      <c r="SGD11" s="731"/>
      <c r="SGH11" s="731"/>
      <c r="SGL11" s="731"/>
      <c r="SGP11" s="731"/>
      <c r="SGT11" s="731"/>
      <c r="SGX11" s="731"/>
      <c r="SHB11" s="731"/>
      <c r="SHF11" s="731"/>
      <c r="SHJ11" s="731"/>
      <c r="SHN11" s="731"/>
      <c r="SHR11" s="731"/>
      <c r="SHV11" s="731"/>
      <c r="SHZ11" s="731"/>
      <c r="SID11" s="731"/>
      <c r="SIH11" s="731"/>
      <c r="SIL11" s="731"/>
      <c r="SIP11" s="731"/>
      <c r="SIT11" s="731"/>
      <c r="SIX11" s="731"/>
      <c r="SJB11" s="731"/>
      <c r="SJF11" s="731"/>
      <c r="SJJ11" s="731"/>
      <c r="SJN11" s="731"/>
      <c r="SJR11" s="731"/>
      <c r="SJV11" s="731"/>
      <c r="SJZ11" s="731"/>
      <c r="SKD11" s="731"/>
      <c r="SKH11" s="731"/>
      <c r="SKL11" s="731"/>
      <c r="SKP11" s="731"/>
      <c r="SKT11" s="731"/>
      <c r="SKX11" s="731"/>
      <c r="SLB11" s="731"/>
      <c r="SLF11" s="731"/>
      <c r="SLJ11" s="731"/>
      <c r="SLN11" s="731"/>
      <c r="SLR11" s="731"/>
      <c r="SLV11" s="731"/>
      <c r="SLZ11" s="731"/>
      <c r="SMD11" s="731"/>
      <c r="SMH11" s="731"/>
      <c r="SML11" s="731"/>
      <c r="SMP11" s="731"/>
      <c r="SMT11" s="731"/>
      <c r="SMX11" s="731"/>
      <c r="SNB11" s="731"/>
      <c r="SNF11" s="731"/>
      <c r="SNJ11" s="731"/>
      <c r="SNN11" s="731"/>
      <c r="SNR11" s="731"/>
      <c r="SNV11" s="731"/>
      <c r="SNZ11" s="731"/>
      <c r="SOD11" s="731"/>
      <c r="SOH11" s="731"/>
      <c r="SOL11" s="731"/>
      <c r="SOP11" s="731"/>
      <c r="SOT11" s="731"/>
      <c r="SOX11" s="731"/>
      <c r="SPB11" s="731"/>
      <c r="SPF11" s="731"/>
      <c r="SPJ11" s="731"/>
      <c r="SPN11" s="731"/>
      <c r="SPR11" s="731"/>
      <c r="SPV11" s="731"/>
      <c r="SPZ11" s="731"/>
      <c r="SQD11" s="731"/>
      <c r="SQH11" s="731"/>
      <c r="SQL11" s="731"/>
      <c r="SQP11" s="731"/>
      <c r="SQT11" s="731"/>
      <c r="SQX11" s="731"/>
      <c r="SRB11" s="731"/>
      <c r="SRF11" s="731"/>
      <c r="SRJ11" s="731"/>
      <c r="SRN11" s="731"/>
      <c r="SRR11" s="731"/>
      <c r="SRV11" s="731"/>
      <c r="SRZ11" s="731"/>
      <c r="SSD11" s="731"/>
      <c r="SSH11" s="731"/>
      <c r="SSL11" s="731"/>
      <c r="SSP11" s="731"/>
      <c r="SST11" s="731"/>
      <c r="SSX11" s="731"/>
      <c r="STB11" s="731"/>
      <c r="STF11" s="731"/>
      <c r="STJ11" s="731"/>
      <c r="STN11" s="731"/>
      <c r="STR11" s="731"/>
      <c r="STV11" s="731"/>
      <c r="STZ11" s="731"/>
      <c r="SUD11" s="731"/>
      <c r="SUH11" s="731"/>
      <c r="SUL11" s="731"/>
      <c r="SUP11" s="731"/>
      <c r="SUT11" s="731"/>
      <c r="SUX11" s="731"/>
      <c r="SVB11" s="731"/>
      <c r="SVF11" s="731"/>
      <c r="SVJ11" s="731"/>
      <c r="SVN11" s="731"/>
      <c r="SVR11" s="731"/>
      <c r="SVV11" s="731"/>
      <c r="SVZ11" s="731"/>
      <c r="SWD11" s="731"/>
      <c r="SWH11" s="731"/>
      <c r="SWL11" s="731"/>
      <c r="SWP11" s="731"/>
      <c r="SWT11" s="731"/>
      <c r="SWX11" s="731"/>
      <c r="SXB11" s="731"/>
      <c r="SXF11" s="731"/>
      <c r="SXJ11" s="731"/>
      <c r="SXN11" s="731"/>
      <c r="SXR11" s="731"/>
      <c r="SXV11" s="731"/>
      <c r="SXZ11" s="731"/>
      <c r="SYD11" s="731"/>
      <c r="SYH11" s="731"/>
      <c r="SYL11" s="731"/>
      <c r="SYP11" s="731"/>
      <c r="SYT11" s="731"/>
      <c r="SYX11" s="731"/>
      <c r="SZB11" s="731"/>
      <c r="SZF11" s="731"/>
      <c r="SZJ11" s="731"/>
      <c r="SZN11" s="731"/>
      <c r="SZR11" s="731"/>
      <c r="SZV11" s="731"/>
      <c r="SZZ11" s="731"/>
      <c r="TAD11" s="731"/>
      <c r="TAH11" s="731"/>
      <c r="TAL11" s="731"/>
      <c r="TAP11" s="731"/>
      <c r="TAT11" s="731"/>
      <c r="TAX11" s="731"/>
      <c r="TBB11" s="731"/>
      <c r="TBF11" s="731"/>
      <c r="TBJ11" s="731"/>
      <c r="TBN11" s="731"/>
      <c r="TBR11" s="731"/>
      <c r="TBV11" s="731"/>
      <c r="TBZ11" s="731"/>
      <c r="TCD11" s="731"/>
      <c r="TCH11" s="731"/>
      <c r="TCL11" s="731"/>
      <c r="TCP11" s="731"/>
      <c r="TCT11" s="731"/>
      <c r="TCX11" s="731"/>
      <c r="TDB11" s="731"/>
      <c r="TDF11" s="731"/>
      <c r="TDJ11" s="731"/>
      <c r="TDN11" s="731"/>
      <c r="TDR11" s="731"/>
      <c r="TDV11" s="731"/>
      <c r="TDZ11" s="731"/>
      <c r="TED11" s="731"/>
      <c r="TEH11" s="731"/>
      <c r="TEL11" s="731"/>
      <c r="TEP11" s="731"/>
      <c r="TET11" s="731"/>
      <c r="TEX11" s="731"/>
      <c r="TFB11" s="731"/>
      <c r="TFF11" s="731"/>
      <c r="TFJ11" s="731"/>
      <c r="TFN11" s="731"/>
      <c r="TFR11" s="731"/>
      <c r="TFV11" s="731"/>
      <c r="TFZ11" s="731"/>
      <c r="TGD11" s="731"/>
      <c r="TGH11" s="731"/>
      <c r="TGL11" s="731"/>
      <c r="TGP11" s="731"/>
      <c r="TGT11" s="731"/>
      <c r="TGX11" s="731"/>
      <c r="THB11" s="731"/>
      <c r="THF11" s="731"/>
      <c r="THJ11" s="731"/>
      <c r="THN11" s="731"/>
      <c r="THR11" s="731"/>
      <c r="THV11" s="731"/>
      <c r="THZ11" s="731"/>
      <c r="TID11" s="731"/>
      <c r="TIH11" s="731"/>
      <c r="TIL11" s="731"/>
      <c r="TIP11" s="731"/>
      <c r="TIT11" s="731"/>
      <c r="TIX11" s="731"/>
      <c r="TJB11" s="731"/>
      <c r="TJF11" s="731"/>
      <c r="TJJ11" s="731"/>
      <c r="TJN11" s="731"/>
      <c r="TJR11" s="731"/>
      <c r="TJV11" s="731"/>
      <c r="TJZ11" s="731"/>
      <c r="TKD11" s="731"/>
      <c r="TKH11" s="731"/>
      <c r="TKL11" s="731"/>
      <c r="TKP11" s="731"/>
      <c r="TKT11" s="731"/>
      <c r="TKX11" s="731"/>
      <c r="TLB11" s="731"/>
      <c r="TLF11" s="731"/>
      <c r="TLJ11" s="731"/>
      <c r="TLN11" s="731"/>
      <c r="TLR11" s="731"/>
      <c r="TLV11" s="731"/>
      <c r="TLZ11" s="731"/>
      <c r="TMD11" s="731"/>
      <c r="TMH11" s="731"/>
      <c r="TML11" s="731"/>
      <c r="TMP11" s="731"/>
      <c r="TMT11" s="731"/>
      <c r="TMX11" s="731"/>
      <c r="TNB11" s="731"/>
      <c r="TNF11" s="731"/>
      <c r="TNJ11" s="731"/>
      <c r="TNN11" s="731"/>
      <c r="TNR11" s="731"/>
      <c r="TNV11" s="731"/>
      <c r="TNZ11" s="731"/>
      <c r="TOD11" s="731"/>
      <c r="TOH11" s="731"/>
      <c r="TOL11" s="731"/>
      <c r="TOP11" s="731"/>
      <c r="TOT11" s="731"/>
      <c r="TOX11" s="731"/>
      <c r="TPB11" s="731"/>
      <c r="TPF11" s="731"/>
      <c r="TPJ11" s="731"/>
      <c r="TPN11" s="731"/>
      <c r="TPR11" s="731"/>
      <c r="TPV11" s="731"/>
      <c r="TPZ11" s="731"/>
      <c r="TQD11" s="731"/>
      <c r="TQH11" s="731"/>
      <c r="TQL11" s="731"/>
      <c r="TQP11" s="731"/>
      <c r="TQT11" s="731"/>
      <c r="TQX11" s="731"/>
      <c r="TRB11" s="731"/>
      <c r="TRF11" s="731"/>
      <c r="TRJ11" s="731"/>
      <c r="TRN11" s="731"/>
      <c r="TRR11" s="731"/>
      <c r="TRV11" s="731"/>
      <c r="TRZ11" s="731"/>
      <c r="TSD11" s="731"/>
      <c r="TSH11" s="731"/>
      <c r="TSL11" s="731"/>
      <c r="TSP11" s="731"/>
      <c r="TST11" s="731"/>
      <c r="TSX11" s="731"/>
      <c r="TTB11" s="731"/>
      <c r="TTF11" s="731"/>
      <c r="TTJ11" s="731"/>
      <c r="TTN11" s="731"/>
      <c r="TTR11" s="731"/>
      <c r="TTV11" s="731"/>
      <c r="TTZ11" s="731"/>
      <c r="TUD11" s="731"/>
      <c r="TUH11" s="731"/>
      <c r="TUL11" s="731"/>
      <c r="TUP11" s="731"/>
      <c r="TUT11" s="731"/>
      <c r="TUX11" s="731"/>
      <c r="TVB11" s="731"/>
      <c r="TVF11" s="731"/>
      <c r="TVJ11" s="731"/>
      <c r="TVN11" s="731"/>
      <c r="TVR11" s="731"/>
      <c r="TVV11" s="731"/>
      <c r="TVZ11" s="731"/>
      <c r="TWD11" s="731"/>
      <c r="TWH11" s="731"/>
      <c r="TWL11" s="731"/>
      <c r="TWP11" s="731"/>
      <c r="TWT11" s="731"/>
      <c r="TWX11" s="731"/>
      <c r="TXB11" s="731"/>
      <c r="TXF11" s="731"/>
      <c r="TXJ11" s="731"/>
      <c r="TXN11" s="731"/>
      <c r="TXR11" s="731"/>
      <c r="TXV11" s="731"/>
      <c r="TXZ11" s="731"/>
      <c r="TYD11" s="731"/>
      <c r="TYH11" s="731"/>
      <c r="TYL11" s="731"/>
      <c r="TYP11" s="731"/>
      <c r="TYT11" s="731"/>
      <c r="TYX11" s="731"/>
      <c r="TZB11" s="731"/>
      <c r="TZF11" s="731"/>
      <c r="TZJ11" s="731"/>
      <c r="TZN11" s="731"/>
      <c r="TZR11" s="731"/>
      <c r="TZV11" s="731"/>
      <c r="TZZ11" s="731"/>
      <c r="UAD11" s="731"/>
      <c r="UAH11" s="731"/>
      <c r="UAL11" s="731"/>
      <c r="UAP11" s="731"/>
      <c r="UAT11" s="731"/>
      <c r="UAX11" s="731"/>
      <c r="UBB11" s="731"/>
      <c r="UBF11" s="731"/>
      <c r="UBJ11" s="731"/>
      <c r="UBN11" s="731"/>
      <c r="UBR11" s="731"/>
      <c r="UBV11" s="731"/>
      <c r="UBZ11" s="731"/>
      <c r="UCD11" s="731"/>
      <c r="UCH11" s="731"/>
      <c r="UCL11" s="731"/>
      <c r="UCP11" s="731"/>
      <c r="UCT11" s="731"/>
      <c r="UCX11" s="731"/>
      <c r="UDB11" s="731"/>
      <c r="UDF11" s="731"/>
      <c r="UDJ11" s="731"/>
      <c r="UDN11" s="731"/>
      <c r="UDR11" s="731"/>
      <c r="UDV11" s="731"/>
      <c r="UDZ11" s="731"/>
      <c r="UED11" s="731"/>
      <c r="UEH11" s="731"/>
      <c r="UEL11" s="731"/>
      <c r="UEP11" s="731"/>
      <c r="UET11" s="731"/>
      <c r="UEX11" s="731"/>
      <c r="UFB11" s="731"/>
      <c r="UFF11" s="731"/>
      <c r="UFJ11" s="731"/>
      <c r="UFN11" s="731"/>
      <c r="UFR11" s="731"/>
      <c r="UFV11" s="731"/>
      <c r="UFZ11" s="731"/>
      <c r="UGD11" s="731"/>
      <c r="UGH11" s="731"/>
      <c r="UGL11" s="731"/>
      <c r="UGP11" s="731"/>
      <c r="UGT11" s="731"/>
      <c r="UGX11" s="731"/>
      <c r="UHB11" s="731"/>
      <c r="UHF11" s="731"/>
      <c r="UHJ11" s="731"/>
      <c r="UHN11" s="731"/>
      <c r="UHR11" s="731"/>
      <c r="UHV11" s="731"/>
      <c r="UHZ11" s="731"/>
      <c r="UID11" s="731"/>
      <c r="UIH11" s="731"/>
      <c r="UIL11" s="731"/>
      <c r="UIP11" s="731"/>
      <c r="UIT11" s="731"/>
      <c r="UIX11" s="731"/>
      <c r="UJB11" s="731"/>
      <c r="UJF11" s="731"/>
      <c r="UJJ11" s="731"/>
      <c r="UJN11" s="731"/>
      <c r="UJR11" s="731"/>
      <c r="UJV11" s="731"/>
      <c r="UJZ11" s="731"/>
      <c r="UKD11" s="731"/>
      <c r="UKH11" s="731"/>
      <c r="UKL11" s="731"/>
      <c r="UKP11" s="731"/>
      <c r="UKT11" s="731"/>
      <c r="UKX11" s="731"/>
      <c r="ULB11" s="731"/>
      <c r="ULF11" s="731"/>
      <c r="ULJ11" s="731"/>
      <c r="ULN11" s="731"/>
      <c r="ULR11" s="731"/>
      <c r="ULV11" s="731"/>
      <c r="ULZ11" s="731"/>
      <c r="UMD11" s="731"/>
      <c r="UMH11" s="731"/>
      <c r="UML11" s="731"/>
      <c r="UMP11" s="731"/>
      <c r="UMT11" s="731"/>
      <c r="UMX11" s="731"/>
      <c r="UNB11" s="731"/>
      <c r="UNF11" s="731"/>
      <c r="UNJ11" s="731"/>
      <c r="UNN11" s="731"/>
      <c r="UNR11" s="731"/>
      <c r="UNV11" s="731"/>
      <c r="UNZ11" s="731"/>
      <c r="UOD11" s="731"/>
      <c r="UOH11" s="731"/>
      <c r="UOL11" s="731"/>
      <c r="UOP11" s="731"/>
      <c r="UOT11" s="731"/>
      <c r="UOX11" s="731"/>
      <c r="UPB11" s="731"/>
      <c r="UPF11" s="731"/>
      <c r="UPJ11" s="731"/>
      <c r="UPN11" s="731"/>
      <c r="UPR11" s="731"/>
      <c r="UPV11" s="731"/>
      <c r="UPZ11" s="731"/>
      <c r="UQD11" s="731"/>
      <c r="UQH11" s="731"/>
      <c r="UQL11" s="731"/>
      <c r="UQP11" s="731"/>
      <c r="UQT11" s="731"/>
      <c r="UQX11" s="731"/>
      <c r="URB11" s="731"/>
      <c r="URF11" s="731"/>
      <c r="URJ11" s="731"/>
      <c r="URN11" s="731"/>
      <c r="URR11" s="731"/>
      <c r="URV11" s="731"/>
      <c r="URZ11" s="731"/>
      <c r="USD11" s="731"/>
      <c r="USH11" s="731"/>
      <c r="USL11" s="731"/>
      <c r="USP11" s="731"/>
      <c r="UST11" s="731"/>
      <c r="USX11" s="731"/>
      <c r="UTB11" s="731"/>
      <c r="UTF11" s="731"/>
      <c r="UTJ11" s="731"/>
      <c r="UTN11" s="731"/>
      <c r="UTR11" s="731"/>
      <c r="UTV11" s="731"/>
      <c r="UTZ11" s="731"/>
      <c r="UUD11" s="731"/>
      <c r="UUH11" s="731"/>
      <c r="UUL11" s="731"/>
      <c r="UUP11" s="731"/>
      <c r="UUT11" s="731"/>
      <c r="UUX11" s="731"/>
      <c r="UVB11" s="731"/>
      <c r="UVF11" s="731"/>
      <c r="UVJ11" s="731"/>
      <c r="UVN11" s="731"/>
      <c r="UVR11" s="731"/>
      <c r="UVV11" s="731"/>
      <c r="UVZ11" s="731"/>
      <c r="UWD11" s="731"/>
      <c r="UWH11" s="731"/>
      <c r="UWL11" s="731"/>
      <c r="UWP11" s="731"/>
      <c r="UWT11" s="731"/>
      <c r="UWX11" s="731"/>
      <c r="UXB11" s="731"/>
      <c r="UXF11" s="731"/>
      <c r="UXJ11" s="731"/>
      <c r="UXN11" s="731"/>
      <c r="UXR11" s="731"/>
      <c r="UXV11" s="731"/>
      <c r="UXZ11" s="731"/>
      <c r="UYD11" s="731"/>
      <c r="UYH11" s="731"/>
      <c r="UYL11" s="731"/>
      <c r="UYP11" s="731"/>
      <c r="UYT11" s="731"/>
      <c r="UYX11" s="731"/>
      <c r="UZB11" s="731"/>
      <c r="UZF11" s="731"/>
      <c r="UZJ11" s="731"/>
      <c r="UZN11" s="731"/>
      <c r="UZR11" s="731"/>
      <c r="UZV11" s="731"/>
      <c r="UZZ11" s="731"/>
      <c r="VAD11" s="731"/>
      <c r="VAH11" s="731"/>
      <c r="VAL11" s="731"/>
      <c r="VAP11" s="731"/>
      <c r="VAT11" s="731"/>
      <c r="VAX11" s="731"/>
      <c r="VBB11" s="731"/>
      <c r="VBF11" s="731"/>
      <c r="VBJ11" s="731"/>
      <c r="VBN11" s="731"/>
      <c r="VBR11" s="731"/>
      <c r="VBV11" s="731"/>
      <c r="VBZ11" s="731"/>
      <c r="VCD11" s="731"/>
      <c r="VCH11" s="731"/>
      <c r="VCL11" s="731"/>
      <c r="VCP11" s="731"/>
      <c r="VCT11" s="731"/>
      <c r="VCX11" s="731"/>
      <c r="VDB11" s="731"/>
      <c r="VDF11" s="731"/>
      <c r="VDJ11" s="731"/>
      <c r="VDN11" s="731"/>
      <c r="VDR11" s="731"/>
      <c r="VDV11" s="731"/>
      <c r="VDZ11" s="731"/>
      <c r="VED11" s="731"/>
      <c r="VEH11" s="731"/>
      <c r="VEL11" s="731"/>
      <c r="VEP11" s="731"/>
      <c r="VET11" s="731"/>
      <c r="VEX11" s="731"/>
      <c r="VFB11" s="731"/>
      <c r="VFF11" s="731"/>
      <c r="VFJ11" s="731"/>
      <c r="VFN11" s="731"/>
      <c r="VFR11" s="731"/>
      <c r="VFV11" s="731"/>
      <c r="VFZ11" s="731"/>
      <c r="VGD11" s="731"/>
      <c r="VGH11" s="731"/>
      <c r="VGL11" s="731"/>
      <c r="VGP11" s="731"/>
      <c r="VGT11" s="731"/>
      <c r="VGX11" s="731"/>
      <c r="VHB11" s="731"/>
      <c r="VHF11" s="731"/>
      <c r="VHJ11" s="731"/>
      <c r="VHN11" s="731"/>
      <c r="VHR11" s="731"/>
      <c r="VHV11" s="731"/>
      <c r="VHZ11" s="731"/>
      <c r="VID11" s="731"/>
      <c r="VIH11" s="731"/>
      <c r="VIL11" s="731"/>
      <c r="VIP11" s="731"/>
      <c r="VIT11" s="731"/>
      <c r="VIX11" s="731"/>
      <c r="VJB11" s="731"/>
      <c r="VJF11" s="731"/>
      <c r="VJJ11" s="731"/>
      <c r="VJN11" s="731"/>
      <c r="VJR11" s="731"/>
      <c r="VJV11" s="731"/>
      <c r="VJZ11" s="731"/>
      <c r="VKD11" s="731"/>
      <c r="VKH11" s="731"/>
      <c r="VKL11" s="731"/>
      <c r="VKP11" s="731"/>
      <c r="VKT11" s="731"/>
      <c r="VKX11" s="731"/>
      <c r="VLB11" s="731"/>
      <c r="VLF11" s="731"/>
      <c r="VLJ11" s="731"/>
      <c r="VLN11" s="731"/>
      <c r="VLR11" s="731"/>
      <c r="VLV11" s="731"/>
      <c r="VLZ11" s="731"/>
      <c r="VMD11" s="731"/>
      <c r="VMH11" s="731"/>
      <c r="VML11" s="731"/>
      <c r="VMP11" s="731"/>
      <c r="VMT11" s="731"/>
      <c r="VMX11" s="731"/>
      <c r="VNB11" s="731"/>
      <c r="VNF11" s="731"/>
      <c r="VNJ11" s="731"/>
      <c r="VNN11" s="731"/>
      <c r="VNR11" s="731"/>
      <c r="VNV11" s="731"/>
      <c r="VNZ11" s="731"/>
      <c r="VOD11" s="731"/>
      <c r="VOH11" s="731"/>
      <c r="VOL11" s="731"/>
      <c r="VOP11" s="731"/>
      <c r="VOT11" s="731"/>
      <c r="VOX11" s="731"/>
      <c r="VPB11" s="731"/>
      <c r="VPF11" s="731"/>
      <c r="VPJ11" s="731"/>
      <c r="VPN11" s="731"/>
      <c r="VPR11" s="731"/>
      <c r="VPV11" s="731"/>
      <c r="VPZ11" s="731"/>
      <c r="VQD11" s="731"/>
      <c r="VQH11" s="731"/>
      <c r="VQL11" s="731"/>
      <c r="VQP11" s="731"/>
      <c r="VQT11" s="731"/>
      <c r="VQX11" s="731"/>
      <c r="VRB11" s="731"/>
      <c r="VRF11" s="731"/>
      <c r="VRJ11" s="731"/>
      <c r="VRN11" s="731"/>
      <c r="VRR11" s="731"/>
      <c r="VRV11" s="731"/>
      <c r="VRZ11" s="731"/>
      <c r="VSD11" s="731"/>
      <c r="VSH11" s="731"/>
      <c r="VSL11" s="731"/>
      <c r="VSP11" s="731"/>
      <c r="VST11" s="731"/>
      <c r="VSX11" s="731"/>
      <c r="VTB11" s="731"/>
      <c r="VTF11" s="731"/>
      <c r="VTJ11" s="731"/>
      <c r="VTN11" s="731"/>
      <c r="VTR11" s="731"/>
      <c r="VTV11" s="731"/>
      <c r="VTZ11" s="731"/>
      <c r="VUD11" s="731"/>
      <c r="VUH11" s="731"/>
      <c r="VUL11" s="731"/>
      <c r="VUP11" s="731"/>
      <c r="VUT11" s="731"/>
      <c r="VUX11" s="731"/>
      <c r="VVB11" s="731"/>
      <c r="VVF11" s="731"/>
      <c r="VVJ11" s="731"/>
      <c r="VVN11" s="731"/>
      <c r="VVR11" s="731"/>
      <c r="VVV11" s="731"/>
      <c r="VVZ11" s="731"/>
      <c r="VWD11" s="731"/>
      <c r="VWH11" s="731"/>
      <c r="VWL11" s="731"/>
      <c r="VWP11" s="731"/>
      <c r="VWT11" s="731"/>
      <c r="VWX11" s="731"/>
      <c r="VXB11" s="731"/>
      <c r="VXF11" s="731"/>
      <c r="VXJ11" s="731"/>
      <c r="VXN11" s="731"/>
      <c r="VXR11" s="731"/>
      <c r="VXV11" s="731"/>
      <c r="VXZ11" s="731"/>
      <c r="VYD11" s="731"/>
      <c r="VYH11" s="731"/>
      <c r="VYL11" s="731"/>
      <c r="VYP11" s="731"/>
      <c r="VYT11" s="731"/>
      <c r="VYX11" s="731"/>
      <c r="VZB11" s="731"/>
      <c r="VZF11" s="731"/>
      <c r="VZJ11" s="731"/>
      <c r="VZN11" s="731"/>
      <c r="VZR11" s="731"/>
      <c r="VZV11" s="731"/>
      <c r="VZZ11" s="731"/>
      <c r="WAD11" s="731"/>
      <c r="WAH11" s="731"/>
      <c r="WAL11" s="731"/>
      <c r="WAP11" s="731"/>
      <c r="WAT11" s="731"/>
      <c r="WAX11" s="731"/>
      <c r="WBB11" s="731"/>
      <c r="WBF11" s="731"/>
      <c r="WBJ11" s="731"/>
      <c r="WBN11" s="731"/>
      <c r="WBR11" s="731"/>
      <c r="WBV11" s="731"/>
      <c r="WBZ11" s="731"/>
      <c r="WCD11" s="731"/>
      <c r="WCH11" s="731"/>
      <c r="WCL11" s="731"/>
      <c r="WCP11" s="731"/>
      <c r="WCT11" s="731"/>
      <c r="WCX11" s="731"/>
      <c r="WDB11" s="731"/>
      <c r="WDF11" s="731"/>
      <c r="WDJ11" s="731"/>
      <c r="WDN11" s="731"/>
      <c r="WDR11" s="731"/>
      <c r="WDV11" s="731"/>
      <c r="WDZ11" s="731"/>
      <c r="WED11" s="731"/>
      <c r="WEH11" s="731"/>
      <c r="WEL11" s="731"/>
      <c r="WEP11" s="731"/>
      <c r="WET11" s="731"/>
      <c r="WEX11" s="731"/>
      <c r="WFB11" s="731"/>
      <c r="WFF11" s="731"/>
      <c r="WFJ11" s="731"/>
      <c r="WFN11" s="731"/>
      <c r="WFR11" s="731"/>
      <c r="WFV11" s="731"/>
      <c r="WFZ11" s="731"/>
      <c r="WGD11" s="731"/>
      <c r="WGH11" s="731"/>
      <c r="WGL11" s="731"/>
      <c r="WGP11" s="731"/>
      <c r="WGT11" s="731"/>
      <c r="WGX11" s="731"/>
      <c r="WHB11" s="731"/>
      <c r="WHF11" s="731"/>
      <c r="WHJ11" s="731"/>
      <c r="WHN11" s="731"/>
      <c r="WHR11" s="731"/>
      <c r="WHV11" s="731"/>
      <c r="WHZ11" s="731"/>
      <c r="WID11" s="731"/>
      <c r="WIH11" s="731"/>
      <c r="WIL11" s="731"/>
      <c r="WIP11" s="731"/>
      <c r="WIT11" s="731"/>
      <c r="WIX11" s="731"/>
      <c r="WJB11" s="731"/>
      <c r="WJF11" s="731"/>
      <c r="WJJ11" s="731"/>
      <c r="WJN11" s="731"/>
      <c r="WJR11" s="731"/>
      <c r="WJV11" s="731"/>
      <c r="WJZ11" s="731"/>
      <c r="WKD11" s="731"/>
      <c r="WKH11" s="731"/>
      <c r="WKL11" s="731"/>
      <c r="WKP11" s="731"/>
      <c r="WKT11" s="731"/>
      <c r="WKX11" s="731"/>
      <c r="WLB11" s="731"/>
      <c r="WLF11" s="731"/>
      <c r="WLJ11" s="731"/>
      <c r="WLN11" s="731"/>
      <c r="WLR11" s="731"/>
      <c r="WLV11" s="731"/>
      <c r="WLZ11" s="731"/>
      <c r="WMD11" s="731"/>
      <c r="WMH11" s="731"/>
      <c r="WML11" s="731"/>
      <c r="WMP11" s="731"/>
      <c r="WMT11" s="731"/>
      <c r="WMX11" s="731"/>
      <c r="WNB11" s="731"/>
      <c r="WNF11" s="731"/>
      <c r="WNJ11" s="731"/>
      <c r="WNN11" s="731"/>
      <c r="WNR11" s="731"/>
      <c r="WNV11" s="731"/>
      <c r="WNZ11" s="731"/>
      <c r="WOD11" s="731"/>
      <c r="WOH11" s="731"/>
      <c r="WOL11" s="731"/>
      <c r="WOP11" s="731"/>
      <c r="WOT11" s="731"/>
      <c r="WOX11" s="731"/>
      <c r="WPB11" s="731"/>
      <c r="WPF11" s="731"/>
      <c r="WPJ11" s="731"/>
      <c r="WPN11" s="731"/>
      <c r="WPR11" s="731"/>
      <c r="WPV11" s="731"/>
      <c r="WPZ11" s="731"/>
      <c r="WQD11" s="731"/>
      <c r="WQH11" s="731"/>
      <c r="WQL11" s="731"/>
      <c r="WQP11" s="731"/>
      <c r="WQT11" s="731"/>
      <c r="WQX11" s="731"/>
      <c r="WRB11" s="731"/>
      <c r="WRF11" s="731"/>
      <c r="WRJ11" s="731"/>
      <c r="WRN11" s="731"/>
      <c r="WRR11" s="731"/>
      <c r="WRV11" s="731"/>
      <c r="WRZ11" s="731"/>
      <c r="WSD11" s="731"/>
      <c r="WSH11" s="731"/>
      <c r="WSL11" s="731"/>
      <c r="WSP11" s="731"/>
      <c r="WST11" s="731"/>
      <c r="WSX11" s="731"/>
      <c r="WTB11" s="731"/>
      <c r="WTF11" s="731"/>
      <c r="WTJ11" s="731"/>
      <c r="WTN11" s="731"/>
      <c r="WTR11" s="731"/>
      <c r="WTV11" s="731"/>
      <c r="WTZ11" s="731"/>
      <c r="WUD11" s="731"/>
      <c r="WUH11" s="731"/>
      <c r="WUL11" s="731"/>
      <c r="WUP11" s="731"/>
      <c r="WUT11" s="731"/>
      <c r="WUX11" s="731"/>
      <c r="WVB11" s="731"/>
      <c r="WVF11" s="731"/>
      <c r="WVJ11" s="731"/>
      <c r="WVN11" s="731"/>
      <c r="WVR11" s="731"/>
      <c r="WVV11" s="731"/>
      <c r="WVZ11" s="731"/>
      <c r="WWD11" s="731"/>
      <c r="WWH11" s="731"/>
      <c r="WWL11" s="731"/>
      <c r="WWP11" s="731"/>
      <c r="WWT11" s="731"/>
      <c r="WWX11" s="731"/>
      <c r="WXB11" s="731"/>
      <c r="WXF11" s="731"/>
      <c r="WXJ11" s="731"/>
      <c r="WXN11" s="731"/>
      <c r="WXR11" s="731"/>
      <c r="WXV11" s="731"/>
      <c r="WXZ11" s="731"/>
      <c r="WYD11" s="731"/>
      <c r="WYH11" s="731"/>
      <c r="WYL11" s="731"/>
      <c r="WYP11" s="731"/>
      <c r="WYT11" s="731"/>
      <c r="WYX11" s="731"/>
      <c r="WZB11" s="731"/>
      <c r="WZF11" s="731"/>
      <c r="WZJ11" s="731"/>
      <c r="WZN11" s="731"/>
      <c r="WZR11" s="731"/>
      <c r="WZV11" s="731"/>
      <c r="WZZ11" s="731"/>
      <c r="XAD11" s="731"/>
      <c r="XAH11" s="731"/>
      <c r="XAL11" s="731"/>
      <c r="XAP11" s="731"/>
      <c r="XAT11" s="731"/>
      <c r="XAX11" s="731"/>
      <c r="XBB11" s="731"/>
      <c r="XBF11" s="731"/>
      <c r="XBJ11" s="731"/>
      <c r="XBN11" s="731"/>
      <c r="XBR11" s="731"/>
      <c r="XBV11" s="731"/>
      <c r="XBZ11" s="731"/>
      <c r="XCD11" s="731"/>
      <c r="XCH11" s="731"/>
      <c r="XCL11" s="731"/>
      <c r="XCP11" s="731"/>
      <c r="XCT11" s="731"/>
      <c r="XCX11" s="731"/>
      <c r="XDB11" s="731"/>
      <c r="XDF11" s="731"/>
      <c r="XDJ11" s="731"/>
      <c r="XDN11" s="731"/>
      <c r="XDR11" s="731"/>
      <c r="XDV11" s="731"/>
      <c r="XDZ11" s="731"/>
      <c r="XED11" s="731"/>
      <c r="XEH11" s="731"/>
      <c r="XEL11" s="731"/>
      <c r="XEP11" s="731"/>
      <c r="XET11" s="731"/>
      <c r="XEX11" s="731"/>
      <c r="XFB11" s="731"/>
    </row>
    <row r="12" spans="1:1022 1026:2046 2050:3070 3074:4094 4098:5118 5122:6142 6146:7166 7170:8190 8194:9214 9218:10238 10242:11262 11266:12286 12290:13310 13314:14334 14338:15358 15362:16382" ht="28.5" customHeight="1"/>
    <row r="13" spans="1:1022 1026:2046 2050:3070 3074:4094 4098:5118 5122:6142 6146:7166 7170:8190 8194:9214 9218:10238 10242:11262 11266:12286 12290:13310 13314:14334 14338:15358 15362:16382" ht="17.25" customHeight="1">
      <c r="B13" s="999" t="s">
        <v>1483</v>
      </c>
      <c r="C13" s="999"/>
      <c r="D13" s="999"/>
      <c r="E13" s="999"/>
      <c r="F13" s="999"/>
      <c r="G13" s="999"/>
      <c r="H13" s="999"/>
      <c r="I13" s="999"/>
    </row>
    <row r="14" spans="1:1022 1026:2046 2050:3070 3074:4094 4098:5118 5122:6142 6146:7166 7170:8190 8194:9214 9218:10238 10242:11262 11266:12286 12290:13310 13314:14334 14338:15358 15362:16382" ht="9" customHeight="1">
      <c r="C14" s="717"/>
      <c r="D14" s="717"/>
      <c r="E14" s="717"/>
      <c r="F14" s="717"/>
      <c r="G14" s="717"/>
      <c r="H14" s="717"/>
    </row>
    <row r="15" spans="1:1022 1026:2046 2050:3070 3074:4094 4098:5118 5122:6142 6146:7166 7170:8190 8194:9214 9218:10238 10242:11262 11266:12286 12290:13310 13314:14334 14338:15358 15362:16382" ht="31.5" customHeight="1">
      <c r="C15" s="986" t="s">
        <v>1425</v>
      </c>
      <c r="D15" s="986"/>
      <c r="E15" s="986" t="s">
        <v>1426</v>
      </c>
      <c r="F15" s="986"/>
      <c r="G15" s="986" t="s">
        <v>1427</v>
      </c>
      <c r="H15" s="986"/>
    </row>
    <row r="16" spans="1:1022 1026:2046 2050:3070 3074:4094 4098:5118 5122:6142 6146:7166 7170:8190 8194:9214 9218:10238 10242:11262 11266:12286 12290:13310 13314:14334 14338:15358 15362:16382">
      <c r="B16" s="723" t="s">
        <v>1400</v>
      </c>
      <c r="C16" s="724" t="s">
        <v>1174</v>
      </c>
      <c r="D16" s="724" t="s">
        <v>1175</v>
      </c>
      <c r="E16" s="724" t="s">
        <v>1174</v>
      </c>
      <c r="F16" s="724" t="s">
        <v>1175</v>
      </c>
      <c r="G16" s="724" t="s">
        <v>1174</v>
      </c>
      <c r="H16" s="724" t="s">
        <v>1175</v>
      </c>
    </row>
    <row r="17" spans="2:8" ht="105" customHeight="1" thickBot="1">
      <c r="B17" s="990" t="s">
        <v>1481</v>
      </c>
      <c r="C17" s="732" t="s">
        <v>1460</v>
      </c>
      <c r="D17" s="733" t="s">
        <v>1461</v>
      </c>
      <c r="E17" s="732" t="s">
        <v>1459</v>
      </c>
      <c r="F17" s="732" t="s">
        <v>1462</v>
      </c>
      <c r="G17" s="732" t="s">
        <v>1463</v>
      </c>
      <c r="H17" s="732" t="s">
        <v>1458</v>
      </c>
    </row>
    <row r="18" spans="2:8" ht="18" customHeight="1" thickTop="1">
      <c r="B18" s="991"/>
      <c r="C18" s="734">
        <v>14</v>
      </c>
      <c r="D18" s="735">
        <v>1</v>
      </c>
      <c r="E18" s="734">
        <v>2</v>
      </c>
      <c r="F18" s="735">
        <v>2</v>
      </c>
      <c r="G18" s="735">
        <v>1</v>
      </c>
      <c r="H18" s="734">
        <v>1</v>
      </c>
    </row>
    <row r="19" spans="2:8" ht="64.5" thickBot="1">
      <c r="B19" s="990" t="s">
        <v>1413</v>
      </c>
      <c r="C19" s="732" t="s">
        <v>1467</v>
      </c>
      <c r="D19" s="733" t="s">
        <v>1465</v>
      </c>
      <c r="E19" s="732" t="s">
        <v>1464</v>
      </c>
      <c r="F19" s="733" t="s">
        <v>1466</v>
      </c>
      <c r="G19" s="733"/>
      <c r="H19" s="732"/>
    </row>
    <row r="20" spans="2:8" ht="15.75" thickTop="1">
      <c r="B20" s="991"/>
      <c r="C20" s="224">
        <v>8</v>
      </c>
      <c r="D20" s="224">
        <v>1</v>
      </c>
      <c r="E20" s="224">
        <v>2</v>
      </c>
      <c r="F20" s="224">
        <v>1</v>
      </c>
      <c r="G20" s="224">
        <v>0</v>
      </c>
      <c r="H20" s="224">
        <v>0</v>
      </c>
    </row>
    <row r="21" spans="2:8" ht="51.75" thickBot="1">
      <c r="B21" s="990" t="s">
        <v>1414</v>
      </c>
      <c r="C21" s="732" t="s">
        <v>1468</v>
      </c>
      <c r="D21" s="732" t="s">
        <v>1468</v>
      </c>
      <c r="E21" s="732"/>
      <c r="F21" s="733"/>
      <c r="G21" s="733"/>
      <c r="H21" s="732"/>
    </row>
    <row r="22" spans="2:8" ht="15.75" thickTop="1">
      <c r="B22" s="991"/>
      <c r="C22" s="224">
        <v>6</v>
      </c>
      <c r="D22" s="224">
        <v>6</v>
      </c>
      <c r="E22" s="224">
        <v>0</v>
      </c>
      <c r="F22" s="224">
        <v>0</v>
      </c>
      <c r="G22" s="224">
        <v>0</v>
      </c>
      <c r="H22" s="224">
        <v>0</v>
      </c>
    </row>
    <row r="23" spans="2:8" ht="90" thickBot="1">
      <c r="B23" s="990" t="s">
        <v>573</v>
      </c>
      <c r="C23" s="732" t="s">
        <v>1470</v>
      </c>
      <c r="D23" s="732" t="s">
        <v>1469</v>
      </c>
      <c r="E23" s="732"/>
      <c r="F23" s="733"/>
      <c r="G23" s="733"/>
      <c r="H23" s="732"/>
    </row>
    <row r="24" spans="2:8" ht="15.75" thickTop="1">
      <c r="B24" s="991"/>
      <c r="C24" s="224">
        <v>14</v>
      </c>
      <c r="D24" s="224">
        <v>2</v>
      </c>
      <c r="E24" s="224">
        <v>0</v>
      </c>
      <c r="F24" s="224">
        <v>0</v>
      </c>
      <c r="G24" s="224">
        <v>0</v>
      </c>
      <c r="H24" s="224">
        <v>0</v>
      </c>
    </row>
    <row r="25" spans="2:8" ht="77.25" thickBot="1">
      <c r="B25" s="990" t="s">
        <v>633</v>
      </c>
      <c r="C25" s="732" t="s">
        <v>1471</v>
      </c>
      <c r="D25" s="732" t="s">
        <v>1472</v>
      </c>
      <c r="E25" s="732"/>
      <c r="F25" s="733"/>
      <c r="G25" s="733"/>
      <c r="H25" s="732"/>
    </row>
    <row r="26" spans="2:8" ht="15.75" thickTop="1">
      <c r="B26" s="991"/>
      <c r="C26" s="224">
        <v>13</v>
      </c>
      <c r="D26" s="224">
        <v>8</v>
      </c>
      <c r="E26" s="224">
        <v>0</v>
      </c>
      <c r="F26" s="224">
        <v>0</v>
      </c>
      <c r="G26" s="224">
        <v>0</v>
      </c>
      <c r="H26" s="224">
        <v>0</v>
      </c>
    </row>
    <row r="27" spans="2:8" ht="51.75" thickBot="1">
      <c r="B27" s="990" t="s">
        <v>273</v>
      </c>
      <c r="C27" s="732" t="s">
        <v>1476</v>
      </c>
      <c r="D27" s="732" t="s">
        <v>1475</v>
      </c>
      <c r="E27" s="732" t="s">
        <v>1473</v>
      </c>
      <c r="F27" s="732"/>
      <c r="G27" s="733"/>
      <c r="H27" s="732" t="s">
        <v>1477</v>
      </c>
    </row>
    <row r="28" spans="2:8" ht="15.75" thickTop="1">
      <c r="B28" s="991"/>
      <c r="C28" s="224">
        <v>6</v>
      </c>
      <c r="D28" s="224">
        <v>5</v>
      </c>
      <c r="E28" s="224">
        <v>1</v>
      </c>
      <c r="F28" s="224">
        <v>0</v>
      </c>
      <c r="G28" s="224">
        <v>0</v>
      </c>
      <c r="H28" s="224">
        <v>2</v>
      </c>
    </row>
    <row r="29" spans="2:8" ht="26.25" thickBot="1">
      <c r="B29" s="997" t="s">
        <v>574</v>
      </c>
      <c r="C29" s="732" t="s">
        <v>1479</v>
      </c>
      <c r="D29" s="733" t="s">
        <v>1478</v>
      </c>
      <c r="E29" s="732"/>
      <c r="F29" s="733"/>
      <c r="G29" s="733"/>
      <c r="H29" s="732"/>
    </row>
    <row r="30" spans="2:8" ht="15.75" thickTop="1">
      <c r="B30" s="998"/>
      <c r="C30" s="736">
        <v>2</v>
      </c>
      <c r="D30" s="736">
        <v>1</v>
      </c>
      <c r="E30" s="736">
        <v>0</v>
      </c>
      <c r="F30" s="736">
        <v>0</v>
      </c>
      <c r="G30" s="736">
        <v>0</v>
      </c>
      <c r="H30" s="736">
        <v>0</v>
      </c>
    </row>
    <row r="31" spans="2:8">
      <c r="B31" s="737" t="s">
        <v>1428</v>
      </c>
      <c r="C31" s="738">
        <f>+C18+C20+C22+C24+C26+C28+C30</f>
        <v>63</v>
      </c>
      <c r="D31" s="738">
        <f t="shared" ref="D31:H31" si="0">+D18+D20+D22+D24+D26+D28+D30</f>
        <v>24</v>
      </c>
      <c r="E31" s="738">
        <f t="shared" si="0"/>
        <v>5</v>
      </c>
      <c r="F31" s="738">
        <f t="shared" si="0"/>
        <v>3</v>
      </c>
      <c r="G31" s="738">
        <f t="shared" si="0"/>
        <v>1</v>
      </c>
      <c r="H31" s="738">
        <f t="shared" si="0"/>
        <v>3</v>
      </c>
    </row>
    <row r="32" spans="2:8">
      <c r="B32" s="737" t="s">
        <v>1487</v>
      </c>
      <c r="C32" s="739">
        <v>333877969598.59772</v>
      </c>
      <c r="D32" s="739">
        <v>30414526966</v>
      </c>
      <c r="E32" s="739">
        <v>9454327155.3785896</v>
      </c>
      <c r="F32" s="739">
        <v>29911630174</v>
      </c>
      <c r="G32" s="739">
        <v>5367171858.0319996</v>
      </c>
      <c r="H32" s="739">
        <v>935859626421.71094</v>
      </c>
    </row>
    <row r="33" spans="2:14" ht="28.5" customHeight="1"/>
    <row r="34" spans="2:14" ht="18" customHeight="1">
      <c r="B34" s="999" t="s">
        <v>1494</v>
      </c>
      <c r="C34" s="999"/>
      <c r="D34" s="999"/>
      <c r="E34" s="999"/>
      <c r="F34" s="999"/>
      <c r="G34" s="999"/>
      <c r="H34" s="999"/>
      <c r="I34" s="999"/>
      <c r="J34" s="801"/>
    </row>
    <row r="35" spans="2:14" ht="28.5" customHeight="1"/>
    <row r="36" spans="2:14" ht="21" customHeight="1">
      <c r="B36" s="727"/>
      <c r="C36" s="983">
        <v>2022</v>
      </c>
      <c r="D36" s="983"/>
      <c r="E36" s="983">
        <v>2023</v>
      </c>
      <c r="F36" s="983"/>
      <c r="G36" s="983">
        <v>2024</v>
      </c>
      <c r="H36" s="983"/>
      <c r="I36" s="983">
        <v>2025</v>
      </c>
      <c r="J36" s="983"/>
      <c r="K36" s="430"/>
      <c r="L36" s="228"/>
      <c r="M36" s="228"/>
      <c r="N36"/>
    </row>
    <row r="37" spans="2:14" ht="21" customHeight="1">
      <c r="B37" s="742" t="s">
        <v>1429</v>
      </c>
      <c r="C37" s="796" t="s">
        <v>1174</v>
      </c>
      <c r="D37" s="796" t="s">
        <v>1175</v>
      </c>
      <c r="E37" s="796" t="s">
        <v>1174</v>
      </c>
      <c r="F37" s="796" t="s">
        <v>1175</v>
      </c>
      <c r="G37" s="796" t="s">
        <v>1174</v>
      </c>
      <c r="H37" s="796" t="s">
        <v>1175</v>
      </c>
      <c r="I37" s="796" t="s">
        <v>1174</v>
      </c>
      <c r="J37" s="796" t="s">
        <v>1175</v>
      </c>
      <c r="K37" s="796" t="s">
        <v>1174</v>
      </c>
      <c r="L37" s="796" t="s">
        <v>1175</v>
      </c>
      <c r="M37" s="796" t="s">
        <v>1263</v>
      </c>
    </row>
    <row r="38" spans="2:14" ht="21" customHeight="1">
      <c r="B38" s="797" t="s">
        <v>1420</v>
      </c>
      <c r="C38" s="729">
        <v>72674730645.827805</v>
      </c>
      <c r="D38" s="729">
        <v>19495526966</v>
      </c>
      <c r="E38" s="729">
        <v>88150951063.909348</v>
      </c>
      <c r="F38" s="729">
        <v>4775000000</v>
      </c>
      <c r="G38" s="729">
        <v>88334102144.347641</v>
      </c>
      <c r="H38" s="729">
        <v>6144000000</v>
      </c>
      <c r="I38" s="729">
        <v>84718185744.512955</v>
      </c>
      <c r="J38" s="729">
        <v>0</v>
      </c>
      <c r="K38" s="792">
        <v>333877969598.59772</v>
      </c>
      <c r="L38" s="792">
        <v>30414526966</v>
      </c>
      <c r="M38" s="793">
        <v>364292496564.59772</v>
      </c>
    </row>
    <row r="39" spans="2:14" ht="21" customHeight="1">
      <c r="B39" s="797" t="s">
        <v>1421</v>
      </c>
      <c r="C39" s="729">
        <v>0</v>
      </c>
      <c r="D39" s="729">
        <v>0</v>
      </c>
      <c r="E39" s="729">
        <v>3282641344.2320585</v>
      </c>
      <c r="F39" s="729">
        <v>25309026501</v>
      </c>
      <c r="G39" s="729">
        <v>3019544934.8365345</v>
      </c>
      <c r="H39" s="729">
        <v>4431130947</v>
      </c>
      <c r="I39" s="729">
        <v>3152140876.3099957</v>
      </c>
      <c r="J39" s="729">
        <v>171472726</v>
      </c>
      <c r="K39" s="792">
        <v>9454327155.3785896</v>
      </c>
      <c r="L39" s="792">
        <v>29911630174</v>
      </c>
      <c r="M39" s="793">
        <v>39365957329.378586</v>
      </c>
    </row>
    <row r="40" spans="2:14" ht="21" customHeight="1">
      <c r="B40" s="797" t="s">
        <v>1422</v>
      </c>
      <c r="C40" s="729">
        <v>0</v>
      </c>
      <c r="D40" s="729">
        <v>0</v>
      </c>
      <c r="E40" s="729">
        <v>328720208.38999999</v>
      </c>
      <c r="F40" s="729">
        <v>152910513.66499999</v>
      </c>
      <c r="G40" s="729">
        <v>1454198116.4320002</v>
      </c>
      <c r="H40" s="729">
        <v>311365186.176</v>
      </c>
      <c r="I40" s="729">
        <v>3584253533.21</v>
      </c>
      <c r="J40" s="729">
        <v>935395350721.87</v>
      </c>
      <c r="K40" s="792">
        <v>5367171858.0319996</v>
      </c>
      <c r="L40" s="794">
        <v>935859626421.71094</v>
      </c>
      <c r="M40" s="793">
        <v>941226798279.74292</v>
      </c>
    </row>
    <row r="41" spans="2:14" ht="21" customHeight="1">
      <c r="B41" s="799" t="s">
        <v>1263</v>
      </c>
      <c r="C41" s="791">
        <v>72674730645.827805</v>
      </c>
      <c r="D41" s="791">
        <v>19495526966</v>
      </c>
      <c r="E41" s="791">
        <v>91762312616.531403</v>
      </c>
      <c r="F41" s="791">
        <v>30236937014.665001</v>
      </c>
      <c r="G41" s="791">
        <v>92807845195.61618</v>
      </c>
      <c r="H41" s="791">
        <v>10886496133.176001</v>
      </c>
      <c r="I41" s="791">
        <v>91454580154.032959</v>
      </c>
      <c r="J41" s="791">
        <v>935566823447.87</v>
      </c>
      <c r="K41" s="795">
        <v>348699468612.0083</v>
      </c>
      <c r="L41" s="795">
        <v>996185783561.71094</v>
      </c>
      <c r="M41" s="793">
        <v>1344885252173.7192</v>
      </c>
    </row>
    <row r="42" spans="2:14" ht="9" customHeight="1">
      <c r="C42" s="717"/>
      <c r="D42" s="717"/>
      <c r="E42" s="717"/>
      <c r="F42" s="717"/>
      <c r="G42" s="717"/>
      <c r="H42" s="717"/>
    </row>
    <row r="43" spans="2:14" ht="9" customHeight="1">
      <c r="C43" s="717"/>
      <c r="D43" s="717"/>
      <c r="E43" s="717"/>
      <c r="F43" s="717"/>
      <c r="G43" s="717"/>
      <c r="H43" s="717"/>
    </row>
    <row r="44" spans="2:14" ht="21" customHeight="1">
      <c r="B44" s="999" t="s">
        <v>1493</v>
      </c>
      <c r="C44" s="999"/>
      <c r="D44" s="999"/>
      <c r="E44" s="999"/>
      <c r="F44" s="999"/>
      <c r="G44" s="999"/>
      <c r="H44" s="999"/>
      <c r="I44" s="999"/>
    </row>
    <row r="45" spans="2:14" ht="9" customHeight="1">
      <c r="C45" s="717"/>
      <c r="D45" s="717"/>
      <c r="E45" s="717"/>
      <c r="F45" s="717"/>
      <c r="G45" s="717"/>
      <c r="H45" s="717"/>
    </row>
    <row r="46" spans="2:14">
      <c r="G46" s="995" t="s">
        <v>1179</v>
      </c>
      <c r="H46" s="995"/>
    </row>
    <row r="47" spans="2:14">
      <c r="B47" s="723" t="s">
        <v>1400</v>
      </c>
      <c r="C47" s="995" t="s">
        <v>598</v>
      </c>
      <c r="D47" s="995"/>
      <c r="E47" s="995" t="s">
        <v>1419</v>
      </c>
      <c r="F47" s="995"/>
      <c r="G47" s="724" t="s">
        <v>1174</v>
      </c>
      <c r="H47" s="724" t="s">
        <v>1175</v>
      </c>
      <c r="I47" s="995" t="s">
        <v>825</v>
      </c>
      <c r="J47" s="995"/>
      <c r="K47" s="995"/>
      <c r="L47" s="995"/>
      <c r="M47" s="800"/>
    </row>
    <row r="48" spans="2:14" ht="199.5" customHeight="1">
      <c r="B48" s="990" t="s">
        <v>1440</v>
      </c>
      <c r="C48" s="994" t="s">
        <v>1453</v>
      </c>
      <c r="D48" s="996"/>
      <c r="E48" s="994" t="s">
        <v>1454</v>
      </c>
      <c r="F48" s="996"/>
      <c r="G48" s="743">
        <f>+'Costo Plan'!W17</f>
        <v>3659520749</v>
      </c>
      <c r="H48" s="743"/>
      <c r="I48" s="994" t="s">
        <v>1488</v>
      </c>
      <c r="J48" s="994"/>
      <c r="K48" s="994"/>
      <c r="L48" s="994"/>
      <c r="M48" s="798"/>
    </row>
    <row r="49" spans="2:13" ht="96.75" customHeight="1">
      <c r="B49" s="991"/>
      <c r="C49" s="994" t="s">
        <v>1456</v>
      </c>
      <c r="D49" s="996"/>
      <c r="E49" s="994" t="s">
        <v>1415</v>
      </c>
      <c r="F49" s="996"/>
      <c r="G49" s="743">
        <f>+'Costo Plan'!M19+'Costo Plan'!O19+'Costo Plan'!Q19</f>
        <v>1707651109.0320001</v>
      </c>
      <c r="H49" s="743">
        <f>+'Costo Plan'!R19+'Costo Plan'!P19+'Costo Plan'!N19</f>
        <v>932401675.71099997</v>
      </c>
      <c r="I49" s="994" t="s">
        <v>1457</v>
      </c>
      <c r="J49" s="994"/>
      <c r="K49" s="994"/>
      <c r="L49" s="994"/>
      <c r="M49" s="798"/>
    </row>
    <row r="50" spans="2:13" ht="156" customHeight="1">
      <c r="B50" s="990" t="s">
        <v>273</v>
      </c>
      <c r="C50" s="992" t="s">
        <v>1416</v>
      </c>
      <c r="D50" s="993"/>
      <c r="E50" s="992" t="s">
        <v>1417</v>
      </c>
      <c r="F50" s="993"/>
      <c r="G50" s="743"/>
      <c r="H50" s="743">
        <f>+'Costo Plan'!S99</f>
        <v>340019920000</v>
      </c>
      <c r="I50" s="994" t="s">
        <v>1431</v>
      </c>
      <c r="J50" s="994"/>
      <c r="K50" s="994"/>
      <c r="L50" s="994"/>
      <c r="M50" s="798"/>
    </row>
    <row r="51" spans="2:13" ht="45" customHeight="1" thickBot="1">
      <c r="B51" s="991"/>
      <c r="C51" s="992" t="s">
        <v>1455</v>
      </c>
      <c r="D51" s="993"/>
      <c r="E51" s="992" t="s">
        <v>1418</v>
      </c>
      <c r="F51" s="993"/>
      <c r="G51" s="744"/>
      <c r="H51" s="744">
        <f>+'Costo Plan'!S102</f>
        <v>594907304746</v>
      </c>
      <c r="I51" s="994" t="s">
        <v>1344</v>
      </c>
      <c r="J51" s="994"/>
      <c r="K51" s="994"/>
      <c r="L51" s="994"/>
      <c r="M51" s="798"/>
    </row>
    <row r="52" spans="2:13" ht="15.75" thickTop="1">
      <c r="B52" s="740"/>
      <c r="G52" s="745">
        <f>+SUM(G48:G51)</f>
        <v>5367171858.0319996</v>
      </c>
      <c r="H52" s="745">
        <f>+SUM(H48:H51)</f>
        <v>935859626421.71094</v>
      </c>
    </row>
  </sheetData>
  <mergeCells count="60">
    <mergeCell ref="B2:I2"/>
    <mergeCell ref="B13:I13"/>
    <mergeCell ref="C4:E4"/>
    <mergeCell ref="F4:G4"/>
    <mergeCell ref="H4:I4"/>
    <mergeCell ref="C5:E5"/>
    <mergeCell ref="F5:G5"/>
    <mergeCell ref="H5:I5"/>
    <mergeCell ref="C6:E6"/>
    <mergeCell ref="F6:G6"/>
    <mergeCell ref="H6:I6"/>
    <mergeCell ref="C7:E7"/>
    <mergeCell ref="F7:G7"/>
    <mergeCell ref="H7:I7"/>
    <mergeCell ref="C8:E8"/>
    <mergeCell ref="F8:G8"/>
    <mergeCell ref="H8:I8"/>
    <mergeCell ref="C9:E9"/>
    <mergeCell ref="F9:G9"/>
    <mergeCell ref="H9:I9"/>
    <mergeCell ref="B21:B22"/>
    <mergeCell ref="C10:E10"/>
    <mergeCell ref="F10:G10"/>
    <mergeCell ref="H10:I10"/>
    <mergeCell ref="C11:E11"/>
    <mergeCell ref="F11:G11"/>
    <mergeCell ref="H11:I11"/>
    <mergeCell ref="C15:D15"/>
    <mergeCell ref="E15:F15"/>
    <mergeCell ref="G15:H15"/>
    <mergeCell ref="B17:B18"/>
    <mergeCell ref="B19:B20"/>
    <mergeCell ref="B23:B24"/>
    <mergeCell ref="B25:B26"/>
    <mergeCell ref="B27:B28"/>
    <mergeCell ref="B29:B30"/>
    <mergeCell ref="G46:H46"/>
    <mergeCell ref="B34:I34"/>
    <mergeCell ref="C36:D36"/>
    <mergeCell ref="E36:F36"/>
    <mergeCell ref="G36:H36"/>
    <mergeCell ref="I36:J36"/>
    <mergeCell ref="B44:I44"/>
    <mergeCell ref="I47:L47"/>
    <mergeCell ref="B48:B49"/>
    <mergeCell ref="C48:D48"/>
    <mergeCell ref="E48:F48"/>
    <mergeCell ref="I48:L48"/>
    <mergeCell ref="C49:D49"/>
    <mergeCell ref="E49:F49"/>
    <mergeCell ref="I49:L49"/>
    <mergeCell ref="C47:D47"/>
    <mergeCell ref="E47:F47"/>
    <mergeCell ref="B50:B51"/>
    <mergeCell ref="C50:D50"/>
    <mergeCell ref="E50:F50"/>
    <mergeCell ref="I50:L50"/>
    <mergeCell ref="C51:D51"/>
    <mergeCell ref="E51:F51"/>
    <mergeCell ref="I51:L5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2"/>
  <sheetViews>
    <sheetView showGridLines="0" topLeftCell="B6" zoomScaleNormal="100" workbookViewId="0">
      <selection activeCell="B6" sqref="B6:B19"/>
    </sheetView>
  </sheetViews>
  <sheetFormatPr baseColWidth="10" defaultColWidth="0" defaultRowHeight="15" zeroHeight="1"/>
  <cols>
    <col min="1" max="1" width="1.85546875" style="233" customWidth="1"/>
    <col min="2" max="2" width="13.42578125" style="237" customWidth="1"/>
    <col min="3" max="3" width="41" style="249" customWidth="1"/>
    <col min="4" max="4" width="44.85546875" style="236" customWidth="1"/>
    <col min="5" max="5" width="22.42578125" style="238" customWidth="1"/>
    <col min="6" max="6" width="20.28515625" style="238" customWidth="1"/>
    <col min="7" max="7" width="18.140625" style="238" customWidth="1"/>
    <col min="8" max="9" width="27.140625" style="238" customWidth="1"/>
    <col min="10" max="13" width="26.42578125" style="238" customWidth="1"/>
    <col min="14" max="14" width="36.42578125" style="238" customWidth="1"/>
    <col min="15" max="15" width="11.42578125" style="239" customWidth="1"/>
    <col min="16" max="16" width="0" hidden="1" customWidth="1"/>
    <col min="17" max="16384" width="11.42578125" hidden="1"/>
  </cols>
  <sheetData>
    <row r="1" spans="1:15" ht="8.25" customHeight="1"/>
    <row r="2" spans="1:15" ht="8.25" customHeight="1"/>
    <row r="3" spans="1:15" ht="15.75">
      <c r="A3" s="262"/>
      <c r="B3" s="1001" t="s">
        <v>663</v>
      </c>
      <c r="C3" s="1002"/>
      <c r="D3" s="1002"/>
      <c r="E3" s="1002"/>
      <c r="F3" s="1002"/>
      <c r="G3" s="1002"/>
      <c r="H3" s="1002"/>
      <c r="I3" s="1003"/>
      <c r="J3" s="1000" t="s">
        <v>942</v>
      </c>
      <c r="K3" s="1000"/>
      <c r="L3" s="1000"/>
      <c r="M3" s="1000"/>
      <c r="N3" s="1000"/>
    </row>
    <row r="4" spans="1:15" ht="7.5" customHeight="1">
      <c r="C4" s="263"/>
      <c r="D4" s="264"/>
      <c r="E4" s="265"/>
      <c r="F4" s="265"/>
      <c r="G4" s="265"/>
      <c r="H4" s="265"/>
      <c r="I4" s="265"/>
      <c r="J4" s="265"/>
      <c r="K4" s="265"/>
      <c r="L4" s="265"/>
      <c r="M4" s="265"/>
      <c r="N4" s="265"/>
    </row>
    <row r="5" spans="1:15" ht="39.75" customHeight="1">
      <c r="B5" s="266" t="s">
        <v>707</v>
      </c>
      <c r="C5" s="266" t="s">
        <v>706</v>
      </c>
      <c r="D5" s="266" t="s">
        <v>705</v>
      </c>
      <c r="E5" s="266" t="s">
        <v>718</v>
      </c>
      <c r="F5" s="266" t="s">
        <v>890</v>
      </c>
      <c r="G5" s="266" t="s">
        <v>156</v>
      </c>
      <c r="H5" s="266" t="s">
        <v>943</v>
      </c>
      <c r="I5" s="266" t="s">
        <v>944</v>
      </c>
      <c r="J5" s="266">
        <v>2022</v>
      </c>
      <c r="K5" s="266">
        <v>2023</v>
      </c>
      <c r="L5" s="266">
        <v>2024</v>
      </c>
      <c r="M5" s="266">
        <v>2025</v>
      </c>
      <c r="N5" s="266" t="s">
        <v>825</v>
      </c>
    </row>
    <row r="6" spans="1:15" ht="93" customHeight="1">
      <c r="B6" s="1008" t="s">
        <v>712</v>
      </c>
      <c r="C6" s="267" t="s">
        <v>3</v>
      </c>
      <c r="D6" s="248" t="s">
        <v>934</v>
      </c>
      <c r="E6" s="268" t="s">
        <v>116</v>
      </c>
      <c r="F6" s="268" t="s">
        <v>116</v>
      </c>
      <c r="G6" s="268" t="s">
        <v>157</v>
      </c>
      <c r="H6" s="267" t="s">
        <v>941</v>
      </c>
      <c r="I6" s="268" t="s">
        <v>522</v>
      </c>
      <c r="J6" s="301" t="s">
        <v>157</v>
      </c>
      <c r="K6" s="301" t="s">
        <v>157</v>
      </c>
      <c r="L6" s="301" t="s">
        <v>157</v>
      </c>
      <c r="M6" s="301" t="s">
        <v>157</v>
      </c>
      <c r="N6" s="302"/>
      <c r="O6" s="269"/>
    </row>
    <row r="7" spans="1:15" ht="105.75" customHeight="1">
      <c r="B7" s="1009"/>
      <c r="C7" s="248" t="s">
        <v>4</v>
      </c>
      <c r="D7" s="248" t="s">
        <v>675</v>
      </c>
      <c r="E7" s="419" t="s">
        <v>117</v>
      </c>
      <c r="F7" s="246">
        <v>7</v>
      </c>
      <c r="G7" s="270">
        <v>32000</v>
      </c>
      <c r="H7" s="248" t="s">
        <v>945</v>
      </c>
      <c r="I7" s="246" t="s">
        <v>584</v>
      </c>
      <c r="J7" s="254" t="s">
        <v>891</v>
      </c>
      <c r="K7" s="254" t="s">
        <v>891</v>
      </c>
      <c r="L7" s="254" t="s">
        <v>891</v>
      </c>
      <c r="M7" s="254" t="s">
        <v>891</v>
      </c>
      <c r="N7" s="256"/>
      <c r="O7" s="269"/>
    </row>
    <row r="8" spans="1:15" ht="101.25" customHeight="1">
      <c r="B8" s="1009"/>
      <c r="C8" s="248" t="s">
        <v>5</v>
      </c>
      <c r="D8" s="248" t="s">
        <v>675</v>
      </c>
      <c r="E8" s="419" t="s">
        <v>720</v>
      </c>
      <c r="F8" s="246" t="s">
        <v>892</v>
      </c>
      <c r="G8" s="270">
        <v>4904</v>
      </c>
      <c r="H8" s="248" t="s">
        <v>946</v>
      </c>
      <c r="I8" s="246" t="s">
        <v>584</v>
      </c>
      <c r="J8" s="254" t="s">
        <v>891</v>
      </c>
      <c r="K8" s="254" t="s">
        <v>891</v>
      </c>
      <c r="L8" s="254" t="s">
        <v>891</v>
      </c>
      <c r="M8" s="254" t="s">
        <v>891</v>
      </c>
      <c r="N8" s="256"/>
      <c r="O8" s="269"/>
    </row>
    <row r="9" spans="1:15" ht="111" customHeight="1">
      <c r="B9" s="1009"/>
      <c r="C9" s="244" t="s">
        <v>6</v>
      </c>
      <c r="D9" s="244" t="s">
        <v>676</v>
      </c>
      <c r="E9" s="420" t="s">
        <v>119</v>
      </c>
      <c r="F9" s="243" t="s">
        <v>125</v>
      </c>
      <c r="G9" s="243">
        <v>104</v>
      </c>
      <c r="H9" s="244" t="s">
        <v>947</v>
      </c>
      <c r="I9" s="243" t="s">
        <v>584</v>
      </c>
      <c r="J9" s="250" t="s">
        <v>891</v>
      </c>
      <c r="K9" s="250" t="s">
        <v>891</v>
      </c>
      <c r="L9" s="250" t="s">
        <v>891</v>
      </c>
      <c r="M9" s="250" t="s">
        <v>891</v>
      </c>
      <c r="N9" s="255"/>
      <c r="O9" s="269"/>
    </row>
    <row r="10" spans="1:15" ht="102">
      <c r="B10" s="1009"/>
      <c r="C10" s="244" t="s">
        <v>7</v>
      </c>
      <c r="D10" s="244" t="s">
        <v>676</v>
      </c>
      <c r="E10" s="243" t="s">
        <v>120</v>
      </c>
      <c r="F10" s="243" t="s">
        <v>893</v>
      </c>
      <c r="G10" s="241">
        <v>1</v>
      </c>
      <c r="H10" s="244" t="s">
        <v>894</v>
      </c>
      <c r="I10" s="243" t="s">
        <v>584</v>
      </c>
      <c r="J10" s="250" t="s">
        <v>891</v>
      </c>
      <c r="K10" s="250" t="s">
        <v>891</v>
      </c>
      <c r="L10" s="250" t="s">
        <v>891</v>
      </c>
      <c r="M10" s="250" t="s">
        <v>891</v>
      </c>
      <c r="N10" s="255"/>
      <c r="O10" s="269"/>
    </row>
    <row r="11" spans="1:15" ht="89.25">
      <c r="B11" s="1009"/>
      <c r="C11" s="244" t="s">
        <v>8</v>
      </c>
      <c r="D11" s="244" t="s">
        <v>677</v>
      </c>
      <c r="E11" s="243" t="s">
        <v>121</v>
      </c>
      <c r="F11" s="243" t="s">
        <v>895</v>
      </c>
      <c r="G11" s="271">
        <v>0.5</v>
      </c>
      <c r="H11" s="271">
        <v>0.5714285714285714</v>
      </c>
      <c r="I11" s="271" t="s">
        <v>948</v>
      </c>
      <c r="J11" s="255"/>
      <c r="K11" s="255"/>
      <c r="L11" s="255"/>
      <c r="M11" s="255"/>
      <c r="N11" s="255"/>
      <c r="O11" s="269"/>
    </row>
    <row r="12" spans="1:15" ht="63.75">
      <c r="B12" s="1009"/>
      <c r="C12" s="416" t="s">
        <v>665</v>
      </c>
      <c r="D12" s="245" t="s">
        <v>678</v>
      </c>
      <c r="E12" s="272" t="s">
        <v>721</v>
      </c>
      <c r="F12" s="272" t="s">
        <v>896</v>
      </c>
      <c r="G12" s="272">
        <v>10</v>
      </c>
      <c r="H12" s="272" t="s">
        <v>949</v>
      </c>
      <c r="I12" s="272" t="s">
        <v>948</v>
      </c>
      <c r="J12" s="255"/>
      <c r="K12" s="255"/>
      <c r="L12" s="255"/>
      <c r="M12" s="255"/>
      <c r="N12" s="255"/>
      <c r="O12" s="269"/>
    </row>
    <row r="13" spans="1:15" ht="102">
      <c r="B13" s="1009"/>
      <c r="C13" s="248" t="s">
        <v>9</v>
      </c>
      <c r="D13" s="244" t="s">
        <v>935</v>
      </c>
      <c r="E13" s="246" t="s">
        <v>722</v>
      </c>
      <c r="F13" s="246" t="s">
        <v>897</v>
      </c>
      <c r="G13" s="271">
        <v>0.2</v>
      </c>
      <c r="H13" s="273" t="s">
        <v>898</v>
      </c>
      <c r="I13" s="274" t="s">
        <v>584</v>
      </c>
      <c r="J13" s="303" t="s">
        <v>891</v>
      </c>
      <c r="K13" s="303" t="s">
        <v>891</v>
      </c>
      <c r="L13" s="303" t="s">
        <v>891</v>
      </c>
      <c r="M13" s="303" t="s">
        <v>891</v>
      </c>
      <c r="N13" s="304"/>
      <c r="O13" s="269"/>
    </row>
    <row r="14" spans="1:15" ht="45.75" customHeight="1">
      <c r="B14" s="1009"/>
      <c r="C14" s="248" t="s">
        <v>10</v>
      </c>
      <c r="D14" s="248" t="s">
        <v>680</v>
      </c>
      <c r="E14" s="246" t="s">
        <v>122</v>
      </c>
      <c r="F14" s="246" t="s">
        <v>899</v>
      </c>
      <c r="G14" s="275">
        <v>1.2999999999999999E-2</v>
      </c>
      <c r="H14" s="276" t="s">
        <v>951</v>
      </c>
      <c r="I14" s="276" t="s">
        <v>950</v>
      </c>
      <c r="J14" s="256"/>
      <c r="K14" s="256"/>
      <c r="L14" s="256"/>
      <c r="M14" s="256"/>
      <c r="N14" s="256"/>
      <c r="O14" s="269"/>
    </row>
    <row r="15" spans="1:15" ht="40.5" customHeight="1">
      <c r="B15" s="1009"/>
      <c r="C15" s="248" t="s">
        <v>314</v>
      </c>
      <c r="D15" s="248" t="s">
        <v>680</v>
      </c>
      <c r="E15" s="246" t="s">
        <v>123</v>
      </c>
      <c r="F15" s="246" t="s">
        <v>900</v>
      </c>
      <c r="G15" s="247">
        <v>0.05</v>
      </c>
      <c r="H15" s="246" t="s">
        <v>952</v>
      </c>
      <c r="I15" s="246" t="s">
        <v>950</v>
      </c>
      <c r="J15" s="256"/>
      <c r="K15" s="256"/>
      <c r="L15" s="256"/>
      <c r="M15" s="256"/>
      <c r="N15" s="256"/>
      <c r="O15" s="269"/>
    </row>
    <row r="16" spans="1:15" ht="65.25" customHeight="1">
      <c r="B16" s="1009"/>
      <c r="C16" s="277" t="s">
        <v>666</v>
      </c>
      <c r="D16" s="277" t="s">
        <v>679</v>
      </c>
      <c r="E16" s="278" t="s">
        <v>723</v>
      </c>
      <c r="F16" s="278" t="s">
        <v>901</v>
      </c>
      <c r="G16" s="279">
        <v>0.6</v>
      </c>
      <c r="H16" s="272" t="s">
        <v>949</v>
      </c>
      <c r="I16" s="278" t="s">
        <v>801</v>
      </c>
      <c r="J16" s="256"/>
      <c r="K16" s="256"/>
      <c r="L16" s="256"/>
      <c r="M16" s="256"/>
      <c r="N16" s="256"/>
      <c r="O16" s="269"/>
    </row>
    <row r="17" spans="2:15" ht="154.5" customHeight="1">
      <c r="B17" s="1009"/>
      <c r="C17" s="244" t="s">
        <v>11</v>
      </c>
      <c r="D17" s="244" t="s">
        <v>936</v>
      </c>
      <c r="E17" s="243" t="s">
        <v>124</v>
      </c>
      <c r="F17" s="243" t="s">
        <v>902</v>
      </c>
      <c r="G17" s="280">
        <v>20000</v>
      </c>
      <c r="H17" s="273" t="s">
        <v>502</v>
      </c>
      <c r="I17" s="271" t="s">
        <v>324</v>
      </c>
      <c r="J17" s="255"/>
      <c r="K17" s="255"/>
      <c r="L17" s="255"/>
      <c r="M17" s="255"/>
      <c r="N17" s="255"/>
      <c r="O17" s="269"/>
    </row>
    <row r="18" spans="2:15" ht="204" customHeight="1">
      <c r="B18" s="1009"/>
      <c r="C18" s="248" t="s">
        <v>667</v>
      </c>
      <c r="D18" s="248" t="s">
        <v>937</v>
      </c>
      <c r="E18" s="246" t="s">
        <v>724</v>
      </c>
      <c r="F18" s="246" t="s">
        <v>903</v>
      </c>
      <c r="G18" s="281">
        <v>0.09</v>
      </c>
      <c r="H18" s="247" t="s">
        <v>953</v>
      </c>
      <c r="I18" s="271" t="s">
        <v>324</v>
      </c>
      <c r="J18" s="305"/>
      <c r="K18" s="305"/>
      <c r="L18" s="305"/>
      <c r="M18" s="305"/>
      <c r="N18" s="256"/>
      <c r="O18" s="269"/>
    </row>
    <row r="19" spans="2:15" ht="60.75" customHeight="1">
      <c r="B19" s="1009"/>
      <c r="C19" s="417" t="s">
        <v>12</v>
      </c>
      <c r="D19" s="277" t="s">
        <v>681</v>
      </c>
      <c r="E19" s="278" t="s">
        <v>725</v>
      </c>
      <c r="F19" s="278" t="s">
        <v>725</v>
      </c>
      <c r="G19" s="278" t="s">
        <v>904</v>
      </c>
      <c r="H19" s="278" t="s">
        <v>949</v>
      </c>
      <c r="I19" s="278" t="s">
        <v>949</v>
      </c>
      <c r="J19" s="256"/>
      <c r="K19" s="256"/>
      <c r="L19" s="256"/>
      <c r="M19" s="256"/>
      <c r="N19" s="256"/>
      <c r="O19" s="269"/>
    </row>
    <row r="20" spans="2:15" ht="216.75">
      <c r="B20" s="1006" t="s">
        <v>713</v>
      </c>
      <c r="C20" s="244" t="s">
        <v>37</v>
      </c>
      <c r="D20" s="244" t="s">
        <v>682</v>
      </c>
      <c r="E20" s="243" t="s">
        <v>126</v>
      </c>
      <c r="F20" s="243" t="s">
        <v>127</v>
      </c>
      <c r="G20" s="282">
        <v>104</v>
      </c>
      <c r="H20" s="282">
        <v>86</v>
      </c>
      <c r="I20" s="283" t="s">
        <v>584</v>
      </c>
      <c r="J20" s="303" t="s">
        <v>891</v>
      </c>
      <c r="K20" s="303" t="s">
        <v>891</v>
      </c>
      <c r="L20" s="303" t="s">
        <v>891</v>
      </c>
      <c r="M20" s="303" t="s">
        <v>891</v>
      </c>
      <c r="N20" s="306"/>
    </row>
    <row r="21" spans="2:15" ht="117.75" customHeight="1">
      <c r="B21" s="1006"/>
      <c r="C21" s="417" t="s">
        <v>668</v>
      </c>
      <c r="D21" s="277" t="s">
        <v>938</v>
      </c>
      <c r="E21" s="278" t="s">
        <v>726</v>
      </c>
      <c r="F21" s="278" t="s">
        <v>905</v>
      </c>
      <c r="G21" s="279">
        <v>0.7</v>
      </c>
      <c r="H21" s="284">
        <v>0.52500000000000002</v>
      </c>
      <c r="I21" s="284" t="s">
        <v>324</v>
      </c>
      <c r="J21" s="307"/>
      <c r="K21" s="307"/>
      <c r="L21" s="307"/>
      <c r="M21" s="307"/>
      <c r="N21" s="307"/>
    </row>
    <row r="22" spans="2:15" ht="55.5" customHeight="1">
      <c r="B22" s="1006"/>
      <c r="C22" s="248" t="s">
        <v>416</v>
      </c>
      <c r="D22" s="248" t="s">
        <v>683</v>
      </c>
      <c r="E22" s="246" t="s">
        <v>128</v>
      </c>
      <c r="F22" s="246" t="s">
        <v>906</v>
      </c>
      <c r="G22" s="247">
        <v>0.7</v>
      </c>
      <c r="H22" s="285">
        <v>0.65100000000000002</v>
      </c>
      <c r="I22" s="286" t="s">
        <v>786</v>
      </c>
      <c r="J22" s="254"/>
      <c r="K22" s="254"/>
      <c r="L22" s="254"/>
      <c r="M22" s="254"/>
      <c r="N22" s="307"/>
    </row>
    <row r="23" spans="2:15" ht="114.75">
      <c r="B23" s="1006"/>
      <c r="C23" s="416" t="s">
        <v>225</v>
      </c>
      <c r="D23" s="245" t="s">
        <v>684</v>
      </c>
      <c r="E23" s="272" t="s">
        <v>129</v>
      </c>
      <c r="F23" s="272" t="s">
        <v>907</v>
      </c>
      <c r="G23" s="287">
        <v>0.4</v>
      </c>
      <c r="H23" s="278" t="s">
        <v>949</v>
      </c>
      <c r="I23" s="278" t="s">
        <v>949</v>
      </c>
      <c r="J23" s="306"/>
      <c r="K23" s="306"/>
      <c r="L23" s="306"/>
      <c r="M23" s="306"/>
      <c r="N23" s="306"/>
    </row>
    <row r="24" spans="2:15" ht="157.5" customHeight="1">
      <c r="B24" s="1006"/>
      <c r="C24" s="248" t="s">
        <v>47</v>
      </c>
      <c r="D24" s="248" t="s">
        <v>685</v>
      </c>
      <c r="E24" s="246" t="s">
        <v>131</v>
      </c>
      <c r="F24" s="246" t="s">
        <v>908</v>
      </c>
      <c r="G24" s="247">
        <v>0.9</v>
      </c>
      <c r="H24" s="285" t="s">
        <v>954</v>
      </c>
      <c r="I24" s="286" t="s">
        <v>398</v>
      </c>
      <c r="J24" s="307"/>
      <c r="K24" s="307"/>
      <c r="L24" s="307"/>
      <c r="M24" s="307"/>
      <c r="N24" s="307"/>
    </row>
    <row r="25" spans="2:15" ht="105" customHeight="1">
      <c r="B25" s="1008" t="s">
        <v>714</v>
      </c>
      <c r="C25" s="417" t="s">
        <v>669</v>
      </c>
      <c r="D25" s="277" t="s">
        <v>686</v>
      </c>
      <c r="E25" s="278" t="s">
        <v>727</v>
      </c>
      <c r="F25" s="278" t="s">
        <v>909</v>
      </c>
      <c r="G25" s="278" t="s">
        <v>912</v>
      </c>
      <c r="H25" s="277" t="s">
        <v>910</v>
      </c>
      <c r="I25" s="278" t="s">
        <v>352</v>
      </c>
      <c r="J25" s="254" t="s">
        <v>911</v>
      </c>
      <c r="K25" s="254" t="s">
        <v>911</v>
      </c>
      <c r="L25" s="254" t="s">
        <v>911</v>
      </c>
      <c r="M25" s="254" t="s">
        <v>911</v>
      </c>
      <c r="N25" s="307"/>
    </row>
    <row r="26" spans="2:15" ht="102">
      <c r="B26" s="1009"/>
      <c r="C26" s="416" t="s">
        <v>670</v>
      </c>
      <c r="D26" s="245" t="s">
        <v>687</v>
      </c>
      <c r="E26" s="272" t="s">
        <v>728</v>
      </c>
      <c r="F26" s="272" t="s">
        <v>913</v>
      </c>
      <c r="G26" s="287">
        <v>1</v>
      </c>
      <c r="H26" s="288" t="s">
        <v>174</v>
      </c>
      <c r="I26" s="289" t="s">
        <v>770</v>
      </c>
      <c r="J26" s="306"/>
      <c r="K26" s="306"/>
      <c r="L26" s="306"/>
      <c r="M26" s="306"/>
      <c r="N26" s="306"/>
    </row>
    <row r="27" spans="2:15" ht="252" customHeight="1">
      <c r="B27" s="1009"/>
      <c r="C27" s="248" t="s">
        <v>58</v>
      </c>
      <c r="D27" s="248" t="s">
        <v>688</v>
      </c>
      <c r="E27" s="246" t="s">
        <v>132</v>
      </c>
      <c r="F27" s="246" t="s">
        <v>133</v>
      </c>
      <c r="G27" s="246">
        <v>550</v>
      </c>
      <c r="H27" s="246">
        <v>234</v>
      </c>
      <c r="I27" s="246" t="s">
        <v>770</v>
      </c>
      <c r="J27" s="307">
        <v>240</v>
      </c>
      <c r="K27" s="307"/>
      <c r="L27" s="307"/>
      <c r="M27" s="307"/>
      <c r="N27" s="307"/>
    </row>
    <row r="28" spans="2:15" ht="102">
      <c r="B28" s="1009"/>
      <c r="C28" s="416" t="s">
        <v>671</v>
      </c>
      <c r="D28" s="245" t="s">
        <v>689</v>
      </c>
      <c r="E28" s="272" t="s">
        <v>729</v>
      </c>
      <c r="F28" s="272" t="s">
        <v>914</v>
      </c>
      <c r="G28" s="272">
        <v>20</v>
      </c>
      <c r="H28" s="272" t="s">
        <v>949</v>
      </c>
      <c r="I28" s="272" t="s">
        <v>949</v>
      </c>
      <c r="J28" s="306"/>
      <c r="K28" s="306"/>
      <c r="L28" s="306"/>
      <c r="M28" s="306"/>
      <c r="N28" s="306"/>
    </row>
    <row r="29" spans="2:15" ht="102">
      <c r="B29" s="1009"/>
      <c r="C29" s="244" t="s">
        <v>664</v>
      </c>
      <c r="D29" s="244" t="s">
        <v>690</v>
      </c>
      <c r="E29" s="243" t="s">
        <v>134</v>
      </c>
      <c r="F29" s="243" t="s">
        <v>135</v>
      </c>
      <c r="G29" s="243">
        <v>25</v>
      </c>
      <c r="H29" s="282">
        <v>24</v>
      </c>
      <c r="I29" s="282" t="s">
        <v>770</v>
      </c>
      <c r="J29" s="306"/>
      <c r="K29" s="306"/>
      <c r="L29" s="306"/>
      <c r="M29" s="306"/>
      <c r="N29" s="306"/>
    </row>
    <row r="30" spans="2:15" ht="181.5" customHeight="1">
      <c r="B30" s="1009"/>
      <c r="C30" s="248" t="s">
        <v>68</v>
      </c>
      <c r="D30" s="248" t="s">
        <v>691</v>
      </c>
      <c r="E30" s="246" t="s">
        <v>136</v>
      </c>
      <c r="F30" s="246" t="s">
        <v>137</v>
      </c>
      <c r="G30" s="246">
        <v>5</v>
      </c>
      <c r="H30" s="246">
        <v>2</v>
      </c>
      <c r="I30" s="290" t="s">
        <v>770</v>
      </c>
      <c r="J30" s="307"/>
      <c r="K30" s="307"/>
      <c r="L30" s="307"/>
      <c r="M30" s="307"/>
      <c r="N30" s="307"/>
    </row>
    <row r="31" spans="2:15" ht="126" customHeight="1">
      <c r="B31" s="1010"/>
      <c r="C31" s="244" t="s">
        <v>298</v>
      </c>
      <c r="D31" s="244" t="s">
        <v>692</v>
      </c>
      <c r="E31" s="309" t="s">
        <v>138</v>
      </c>
      <c r="F31" s="309" t="s">
        <v>915</v>
      </c>
      <c r="G31" s="310">
        <v>0.5</v>
      </c>
      <c r="H31" s="271" t="s">
        <v>955</v>
      </c>
      <c r="I31" s="271" t="s">
        <v>584</v>
      </c>
      <c r="J31" s="253" t="s">
        <v>891</v>
      </c>
      <c r="K31" s="253" t="s">
        <v>891</v>
      </c>
      <c r="L31" s="253" t="s">
        <v>891</v>
      </c>
      <c r="M31" s="253" t="s">
        <v>891</v>
      </c>
      <c r="N31" s="306"/>
    </row>
    <row r="32" spans="2:15" ht="277.5" customHeight="1">
      <c r="B32" s="1007" t="s">
        <v>715</v>
      </c>
      <c r="C32" s="417" t="s">
        <v>76</v>
      </c>
      <c r="D32" s="277" t="s">
        <v>693</v>
      </c>
      <c r="E32" s="278" t="s">
        <v>730</v>
      </c>
      <c r="F32" s="278" t="s">
        <v>916</v>
      </c>
      <c r="G32" s="291">
        <v>183609</v>
      </c>
      <c r="H32" s="291">
        <v>104609</v>
      </c>
      <c r="I32" s="292" t="s">
        <v>661</v>
      </c>
      <c r="J32" s="307"/>
      <c r="K32" s="307"/>
      <c r="L32" s="307"/>
      <c r="M32" s="307"/>
      <c r="N32" s="307"/>
    </row>
    <row r="33" spans="1:15" ht="38.25">
      <c r="B33" s="1007"/>
      <c r="C33" s="244" t="s">
        <v>80</v>
      </c>
      <c r="D33" s="244" t="s">
        <v>694</v>
      </c>
      <c r="E33" s="243" t="s">
        <v>139</v>
      </c>
      <c r="F33" s="243" t="s">
        <v>140</v>
      </c>
      <c r="G33" s="243">
        <v>4</v>
      </c>
      <c r="H33" s="243">
        <v>2</v>
      </c>
      <c r="I33" s="243" t="s">
        <v>956</v>
      </c>
      <c r="J33" s="306"/>
      <c r="K33" s="306"/>
      <c r="L33" s="306"/>
      <c r="M33" s="306"/>
      <c r="N33" s="306"/>
    </row>
    <row r="34" spans="1:15" ht="201" customHeight="1">
      <c r="B34" s="1007"/>
      <c r="C34" s="248" t="s">
        <v>81</v>
      </c>
      <c r="D34" s="248" t="s">
        <v>695</v>
      </c>
      <c r="E34" s="246" t="s">
        <v>141</v>
      </c>
      <c r="F34" s="246" t="s">
        <v>141</v>
      </c>
      <c r="G34" s="246" t="s">
        <v>141</v>
      </c>
      <c r="H34" s="246" t="s">
        <v>166</v>
      </c>
      <c r="I34" s="290" t="s">
        <v>835</v>
      </c>
      <c r="J34" s="307"/>
      <c r="K34" s="307"/>
      <c r="L34" s="307"/>
      <c r="M34" s="307"/>
      <c r="N34" s="307"/>
    </row>
    <row r="35" spans="1:15" ht="63.75" customHeight="1">
      <c r="B35" s="1007"/>
      <c r="C35" s="248" t="s">
        <v>305</v>
      </c>
      <c r="D35" s="248" t="s">
        <v>696</v>
      </c>
      <c r="E35" s="246" t="s">
        <v>142</v>
      </c>
      <c r="F35" s="246" t="s">
        <v>917</v>
      </c>
      <c r="G35" s="247">
        <v>1</v>
      </c>
      <c r="H35" s="285" t="s">
        <v>957</v>
      </c>
      <c r="I35" s="285" t="s">
        <v>835</v>
      </c>
      <c r="J35" s="307"/>
      <c r="K35" s="307"/>
      <c r="L35" s="307"/>
      <c r="M35" s="307"/>
      <c r="N35" s="307"/>
    </row>
    <row r="36" spans="1:15" ht="48.75" customHeight="1">
      <c r="B36" s="1007"/>
      <c r="C36" s="248" t="s">
        <v>86</v>
      </c>
      <c r="D36" s="248" t="s">
        <v>697</v>
      </c>
      <c r="E36" s="246" t="s">
        <v>143</v>
      </c>
      <c r="F36" s="246" t="s">
        <v>144</v>
      </c>
      <c r="G36" s="246">
        <v>980</v>
      </c>
      <c r="H36" s="246">
        <v>640</v>
      </c>
      <c r="I36" s="290" t="s">
        <v>835</v>
      </c>
      <c r="J36" s="307"/>
      <c r="K36" s="307"/>
      <c r="L36" s="307"/>
      <c r="M36" s="307"/>
      <c r="N36" s="307"/>
    </row>
    <row r="37" spans="1:15" ht="84.75" customHeight="1">
      <c r="B37" s="1007"/>
      <c r="C37" s="417" t="s">
        <v>87</v>
      </c>
      <c r="D37" s="277" t="s">
        <v>939</v>
      </c>
      <c r="E37" s="278" t="s">
        <v>145</v>
      </c>
      <c r="F37" s="278" t="s">
        <v>918</v>
      </c>
      <c r="G37" s="293">
        <v>0.3</v>
      </c>
      <c r="H37" s="293" t="s">
        <v>949</v>
      </c>
      <c r="I37" s="293" t="s">
        <v>949</v>
      </c>
      <c r="J37" s="307"/>
      <c r="K37" s="307"/>
      <c r="L37" s="307"/>
      <c r="M37" s="307"/>
      <c r="N37" s="307"/>
    </row>
    <row r="38" spans="1:15" ht="88.5" customHeight="1">
      <c r="B38" s="1006" t="s">
        <v>717</v>
      </c>
      <c r="C38" s="418" t="s">
        <v>672</v>
      </c>
      <c r="D38" s="245" t="s">
        <v>698</v>
      </c>
      <c r="E38" s="272" t="s">
        <v>731</v>
      </c>
      <c r="F38" s="272" t="s">
        <v>919</v>
      </c>
      <c r="G38" s="272">
        <v>6</v>
      </c>
      <c r="H38" s="293" t="s">
        <v>949</v>
      </c>
      <c r="I38" s="293" t="s">
        <v>949</v>
      </c>
      <c r="J38" s="306"/>
      <c r="K38" s="306"/>
      <c r="L38" s="306"/>
      <c r="M38" s="306"/>
      <c r="N38" s="306"/>
    </row>
    <row r="39" spans="1:15" ht="64.5" customHeight="1">
      <c r="B39" s="1006"/>
      <c r="C39" s="418" t="s">
        <v>673</v>
      </c>
      <c r="D39" s="245" t="s">
        <v>699</v>
      </c>
      <c r="E39" s="272" t="s">
        <v>732</v>
      </c>
      <c r="F39" s="272" t="s">
        <v>920</v>
      </c>
      <c r="G39" s="287">
        <v>1</v>
      </c>
      <c r="H39" s="293" t="s">
        <v>949</v>
      </c>
      <c r="I39" s="293" t="s">
        <v>949</v>
      </c>
      <c r="J39" s="306"/>
      <c r="K39" s="306"/>
      <c r="L39" s="306"/>
      <c r="M39" s="306"/>
      <c r="N39" s="306"/>
    </row>
    <row r="40" spans="1:15" ht="63.75">
      <c r="B40" s="1006"/>
      <c r="C40" s="294" t="s">
        <v>92</v>
      </c>
      <c r="D40" s="244" t="s">
        <v>699</v>
      </c>
      <c r="E40" s="243" t="s">
        <v>147</v>
      </c>
      <c r="F40" s="243" t="s">
        <v>921</v>
      </c>
      <c r="G40" s="241">
        <v>1</v>
      </c>
      <c r="H40" s="295">
        <v>0.92</v>
      </c>
      <c r="I40" s="296" t="s">
        <v>958</v>
      </c>
      <c r="J40" s="306"/>
      <c r="K40" s="306"/>
      <c r="L40" s="306"/>
      <c r="M40" s="306"/>
      <c r="N40" s="306"/>
    </row>
    <row r="41" spans="1:15" ht="160.5" customHeight="1">
      <c r="B41" s="1006"/>
      <c r="C41" s="294" t="s">
        <v>674</v>
      </c>
      <c r="D41" s="244" t="s">
        <v>700</v>
      </c>
      <c r="E41" s="243" t="s">
        <v>149</v>
      </c>
      <c r="F41" s="243" t="s">
        <v>922</v>
      </c>
      <c r="G41" s="241">
        <v>1</v>
      </c>
      <c r="H41" s="241">
        <v>1</v>
      </c>
      <c r="I41" s="241" t="s">
        <v>522</v>
      </c>
      <c r="J41" s="306"/>
      <c r="K41" s="306"/>
      <c r="L41" s="306"/>
      <c r="M41" s="306"/>
      <c r="N41" s="306"/>
    </row>
    <row r="42" spans="1:15" ht="204">
      <c r="B42" s="1006"/>
      <c r="C42" s="294" t="s">
        <v>100</v>
      </c>
      <c r="D42" s="244" t="s">
        <v>940</v>
      </c>
      <c r="E42" s="243" t="s">
        <v>150</v>
      </c>
      <c r="F42" s="243" t="s">
        <v>923</v>
      </c>
      <c r="G42" s="241">
        <v>0.8</v>
      </c>
      <c r="H42" s="295">
        <v>0.99299999999999999</v>
      </c>
      <c r="I42" s="296" t="s">
        <v>958</v>
      </c>
      <c r="J42" s="306"/>
      <c r="K42" s="306"/>
      <c r="L42" s="306"/>
      <c r="M42" s="306"/>
      <c r="N42" s="306"/>
    </row>
    <row r="43" spans="1:15" ht="79.5" customHeight="1">
      <c r="B43" s="1006"/>
      <c r="C43" s="294" t="s">
        <v>105</v>
      </c>
      <c r="D43" s="244" t="s">
        <v>701</v>
      </c>
      <c r="E43" s="243" t="s">
        <v>151</v>
      </c>
      <c r="F43" s="243" t="s">
        <v>924</v>
      </c>
      <c r="G43" s="241">
        <v>1</v>
      </c>
      <c r="H43" s="241">
        <v>1</v>
      </c>
      <c r="I43" s="241" t="s">
        <v>522</v>
      </c>
      <c r="J43" s="306"/>
      <c r="K43" s="306"/>
      <c r="L43" s="306"/>
      <c r="M43" s="306"/>
      <c r="N43" s="306"/>
    </row>
    <row r="44" spans="1:15" ht="81.75" customHeight="1">
      <c r="B44" s="1006"/>
      <c r="C44" s="297" t="s">
        <v>106</v>
      </c>
      <c r="D44" s="248" t="s">
        <v>701</v>
      </c>
      <c r="E44" s="246" t="s">
        <v>733</v>
      </c>
      <c r="F44" s="246" t="s">
        <v>925</v>
      </c>
      <c r="G44" s="247">
        <v>1</v>
      </c>
      <c r="H44" s="285">
        <v>0.45500000000000002</v>
      </c>
      <c r="I44" s="285" t="s">
        <v>661</v>
      </c>
      <c r="J44" s="307"/>
      <c r="K44" s="307"/>
      <c r="L44" s="307"/>
      <c r="M44" s="307"/>
      <c r="N44" s="307"/>
    </row>
    <row r="45" spans="1:15" ht="72" customHeight="1">
      <c r="B45" s="1006"/>
      <c r="C45" s="297" t="s">
        <v>107</v>
      </c>
      <c r="D45" s="248" t="s">
        <v>702</v>
      </c>
      <c r="E45" s="246" t="s">
        <v>152</v>
      </c>
      <c r="F45" s="246" t="s">
        <v>926</v>
      </c>
      <c r="G45" s="247">
        <v>1</v>
      </c>
      <c r="H45" s="247">
        <v>0</v>
      </c>
      <c r="I45" s="247" t="s">
        <v>352</v>
      </c>
      <c r="J45" s="307"/>
      <c r="K45" s="307"/>
      <c r="L45" s="307"/>
      <c r="M45" s="307"/>
      <c r="N45" s="307"/>
    </row>
    <row r="46" spans="1:15" ht="63.75">
      <c r="B46" s="1006"/>
      <c r="C46" s="294" t="s">
        <v>108</v>
      </c>
      <c r="D46" s="244" t="s">
        <v>703</v>
      </c>
      <c r="E46" s="243" t="s">
        <v>153</v>
      </c>
      <c r="F46" s="243" t="s">
        <v>927</v>
      </c>
      <c r="G46" s="241">
        <v>1</v>
      </c>
      <c r="H46" s="295">
        <v>0.92</v>
      </c>
      <c r="I46" s="296" t="s">
        <v>958</v>
      </c>
      <c r="J46" s="306"/>
      <c r="K46" s="306"/>
      <c r="L46" s="306"/>
      <c r="M46" s="306"/>
      <c r="N46" s="306"/>
    </row>
    <row r="47" spans="1:15" s="147" customFormat="1" ht="22.5" customHeight="1">
      <c r="A47" s="240"/>
      <c r="B47" s="1006"/>
      <c r="C47" s="1004" t="s">
        <v>716</v>
      </c>
      <c r="D47" s="1005" t="s">
        <v>704</v>
      </c>
      <c r="E47" s="245" t="s">
        <v>928</v>
      </c>
      <c r="F47" s="272" t="s">
        <v>929</v>
      </c>
      <c r="G47" s="272">
        <v>1</v>
      </c>
      <c r="H47" s="298">
        <v>1</v>
      </c>
      <c r="I47" s="298" t="s">
        <v>522</v>
      </c>
      <c r="J47" s="308"/>
      <c r="K47" s="308"/>
      <c r="L47" s="308"/>
      <c r="M47" s="308"/>
      <c r="N47" s="251"/>
      <c r="O47" s="237"/>
    </row>
    <row r="48" spans="1:15" s="147" customFormat="1" ht="43.5" customHeight="1">
      <c r="A48" s="240"/>
      <c r="B48" s="1006"/>
      <c r="C48" s="1004"/>
      <c r="D48" s="1005"/>
      <c r="E48" s="245" t="s">
        <v>930</v>
      </c>
      <c r="F48" s="272" t="s">
        <v>931</v>
      </c>
      <c r="G48" s="299">
        <v>15</v>
      </c>
      <c r="H48" s="299">
        <v>6</v>
      </c>
      <c r="I48" s="272" t="s">
        <v>958</v>
      </c>
      <c r="J48" s="252"/>
      <c r="K48" s="252"/>
      <c r="L48" s="252"/>
      <c r="M48" s="252"/>
      <c r="N48" s="252"/>
      <c r="O48" s="237"/>
    </row>
    <row r="49" spans="1:15" s="147" customFormat="1" ht="51">
      <c r="A49" s="240"/>
      <c r="B49" s="1006"/>
      <c r="C49" s="1004"/>
      <c r="D49" s="1005"/>
      <c r="E49" s="244" t="s">
        <v>932</v>
      </c>
      <c r="F49" s="300" t="s">
        <v>933</v>
      </c>
      <c r="G49" s="242">
        <v>1</v>
      </c>
      <c r="H49" s="242">
        <v>1</v>
      </c>
      <c r="I49" s="242" t="s">
        <v>522</v>
      </c>
      <c r="J49" s="252"/>
      <c r="K49" s="252"/>
      <c r="L49" s="252"/>
      <c r="M49" s="252"/>
      <c r="N49" s="252"/>
      <c r="O49" s="237"/>
    </row>
    <row r="50" spans="1:15">
      <c r="J50" s="258"/>
      <c r="K50" s="258"/>
      <c r="L50" s="258"/>
      <c r="M50" s="258"/>
      <c r="N50" s="258"/>
    </row>
    <row r="51" spans="1:15">
      <c r="J51" s="258"/>
      <c r="K51" s="258"/>
      <c r="L51" s="258"/>
      <c r="M51" s="258"/>
      <c r="N51" s="258"/>
    </row>
    <row r="52" spans="1:15"/>
  </sheetData>
  <sheetProtection autoFilter="0"/>
  <autoFilter ref="B5:N49" xr:uid="{00000000-0009-0000-0000-00000B000000}"/>
  <mergeCells count="9">
    <mergeCell ref="J3:N3"/>
    <mergeCell ref="B3:I3"/>
    <mergeCell ref="C47:C49"/>
    <mergeCell ref="D47:D49"/>
    <mergeCell ref="B38:B49"/>
    <mergeCell ref="B32:B37"/>
    <mergeCell ref="B25:B31"/>
    <mergeCell ref="B20:B24"/>
    <mergeCell ref="B6:B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99"/>
  <sheetViews>
    <sheetView workbookViewId="0">
      <selection activeCell="N28" sqref="N28"/>
    </sheetView>
  </sheetViews>
  <sheetFormatPr baseColWidth="10" defaultRowHeight="15"/>
  <cols>
    <col min="1" max="1" width="27.7109375" customWidth="1"/>
    <col min="2" max="2" width="7.140625" customWidth="1"/>
    <col min="4" max="4" width="7" customWidth="1"/>
  </cols>
  <sheetData>
    <row r="2" spans="1:5">
      <c r="A2" t="s">
        <v>747</v>
      </c>
      <c r="B2" t="s">
        <v>1126</v>
      </c>
      <c r="D2" t="s">
        <v>1127</v>
      </c>
    </row>
    <row r="3" spans="1:5">
      <c r="A3" t="s">
        <v>576</v>
      </c>
      <c r="B3" t="s">
        <v>580</v>
      </c>
      <c r="C3" t="s">
        <v>579</v>
      </c>
      <c r="D3">
        <v>1</v>
      </c>
      <c r="E3" t="s">
        <v>1024</v>
      </c>
    </row>
    <row r="4" spans="1:5">
      <c r="A4" t="s">
        <v>576</v>
      </c>
      <c r="B4" t="s">
        <v>580</v>
      </c>
      <c r="C4" t="s">
        <v>579</v>
      </c>
      <c r="D4">
        <v>2</v>
      </c>
      <c r="E4" t="s">
        <v>857</v>
      </c>
    </row>
    <row r="5" spans="1:5">
      <c r="A5" t="s">
        <v>576</v>
      </c>
      <c r="B5" t="s">
        <v>580</v>
      </c>
      <c r="C5" t="s">
        <v>579</v>
      </c>
      <c r="D5">
        <v>3</v>
      </c>
      <c r="E5" t="s">
        <v>1021</v>
      </c>
    </row>
    <row r="6" spans="1:5">
      <c r="A6" t="s">
        <v>576</v>
      </c>
      <c r="B6" t="s">
        <v>581</v>
      </c>
      <c r="C6" t="s">
        <v>582</v>
      </c>
      <c r="D6">
        <v>1</v>
      </c>
      <c r="E6" t="s">
        <v>562</v>
      </c>
    </row>
    <row r="7" spans="1:5">
      <c r="A7" t="s">
        <v>576</v>
      </c>
      <c r="B7" t="s">
        <v>581</v>
      </c>
      <c r="C7" t="s">
        <v>582</v>
      </c>
      <c r="D7">
        <v>2</v>
      </c>
      <c r="E7" t="s">
        <v>563</v>
      </c>
    </row>
    <row r="8" spans="1:5">
      <c r="A8" t="s">
        <v>576</v>
      </c>
      <c r="B8" t="s">
        <v>585</v>
      </c>
      <c r="C8" t="s">
        <v>858</v>
      </c>
      <c r="D8">
        <v>1</v>
      </c>
      <c r="E8" t="s">
        <v>564</v>
      </c>
    </row>
    <row r="9" spans="1:5">
      <c r="A9" t="s">
        <v>576</v>
      </c>
      <c r="B9" t="s">
        <v>585</v>
      </c>
      <c r="C9" t="s">
        <v>858</v>
      </c>
      <c r="D9">
        <v>2</v>
      </c>
      <c r="E9" t="s">
        <v>1152</v>
      </c>
    </row>
    <row r="10" spans="1:5">
      <c r="A10" t="s">
        <v>576</v>
      </c>
      <c r="B10" t="s">
        <v>586</v>
      </c>
      <c r="C10" t="s">
        <v>961</v>
      </c>
      <c r="D10">
        <v>1</v>
      </c>
      <c r="E10" t="s">
        <v>558</v>
      </c>
    </row>
    <row r="11" spans="1:5">
      <c r="A11" t="s">
        <v>576</v>
      </c>
      <c r="B11" t="s">
        <v>586</v>
      </c>
      <c r="C11" t="s">
        <v>961</v>
      </c>
      <c r="D11">
        <v>2</v>
      </c>
      <c r="E11" t="s">
        <v>1105</v>
      </c>
    </row>
    <row r="12" spans="1:5">
      <c r="A12" t="s">
        <v>576</v>
      </c>
      <c r="B12" t="s">
        <v>587</v>
      </c>
      <c r="C12" t="s">
        <v>734</v>
      </c>
      <c r="D12">
        <v>1</v>
      </c>
      <c r="E12" t="s">
        <v>803</v>
      </c>
    </row>
    <row r="13" spans="1:5">
      <c r="A13" t="s">
        <v>576</v>
      </c>
      <c r="B13" t="s">
        <v>587</v>
      </c>
      <c r="C13" t="s">
        <v>734</v>
      </c>
      <c r="D13">
        <v>2</v>
      </c>
      <c r="E13" t="s">
        <v>1025</v>
      </c>
    </row>
    <row r="14" spans="1:5">
      <c r="A14" t="s">
        <v>576</v>
      </c>
      <c r="B14" t="s">
        <v>588</v>
      </c>
      <c r="C14" t="s">
        <v>590</v>
      </c>
      <c r="D14">
        <v>1</v>
      </c>
      <c r="E14" t="s">
        <v>759</v>
      </c>
    </row>
    <row r="15" spans="1:5">
      <c r="A15" t="s">
        <v>576</v>
      </c>
      <c r="B15" t="s">
        <v>589</v>
      </c>
      <c r="C15" t="s">
        <v>592</v>
      </c>
      <c r="D15">
        <v>1</v>
      </c>
      <c r="E15" t="s">
        <v>593</v>
      </c>
    </row>
    <row r="16" spans="1:5">
      <c r="A16" t="s">
        <v>576</v>
      </c>
      <c r="B16" t="s">
        <v>591</v>
      </c>
      <c r="C16" t="s">
        <v>760</v>
      </c>
      <c r="D16">
        <v>1</v>
      </c>
      <c r="E16" t="s">
        <v>565</v>
      </c>
    </row>
    <row r="17" spans="1:5">
      <c r="A17" t="s">
        <v>576</v>
      </c>
      <c r="B17" t="s">
        <v>591</v>
      </c>
      <c r="C17" t="s">
        <v>760</v>
      </c>
      <c r="D17">
        <v>2</v>
      </c>
      <c r="E17" t="s">
        <v>559</v>
      </c>
    </row>
    <row r="18" spans="1:5">
      <c r="A18" t="s">
        <v>576</v>
      </c>
      <c r="B18" t="s">
        <v>594</v>
      </c>
      <c r="C18" t="s">
        <v>596</v>
      </c>
      <c r="D18">
        <v>1</v>
      </c>
      <c r="E18" t="s">
        <v>566</v>
      </c>
    </row>
    <row r="19" spans="1:5">
      <c r="A19" t="s">
        <v>576</v>
      </c>
      <c r="B19" t="s">
        <v>595</v>
      </c>
      <c r="C19" t="s">
        <v>850</v>
      </c>
      <c r="D19">
        <v>1</v>
      </c>
      <c r="E19" t="s">
        <v>887</v>
      </c>
    </row>
    <row r="20" spans="1:5">
      <c r="A20" t="s">
        <v>576</v>
      </c>
      <c r="B20" t="s">
        <v>595</v>
      </c>
      <c r="C20" t="s">
        <v>850</v>
      </c>
      <c r="D20">
        <v>2</v>
      </c>
      <c r="E20" t="s">
        <v>851</v>
      </c>
    </row>
    <row r="21" spans="1:5">
      <c r="A21" t="s">
        <v>575</v>
      </c>
      <c r="B21" t="s">
        <v>600</v>
      </c>
      <c r="C21" t="s">
        <v>804</v>
      </c>
      <c r="D21">
        <v>1</v>
      </c>
      <c r="E21" t="s">
        <v>601</v>
      </c>
    </row>
    <row r="22" spans="1:5">
      <c r="A22" t="s">
        <v>575</v>
      </c>
      <c r="B22" t="s">
        <v>600</v>
      </c>
      <c r="C22" t="s">
        <v>804</v>
      </c>
      <c r="D22">
        <v>2</v>
      </c>
      <c r="E22" t="s">
        <v>602</v>
      </c>
    </row>
    <row r="23" spans="1:5">
      <c r="A23" t="s">
        <v>575</v>
      </c>
      <c r="B23" t="s">
        <v>600</v>
      </c>
      <c r="C23" t="s">
        <v>804</v>
      </c>
      <c r="D23">
        <v>3</v>
      </c>
      <c r="E23" t="s">
        <v>603</v>
      </c>
    </row>
    <row r="24" spans="1:5">
      <c r="A24" t="s">
        <v>575</v>
      </c>
      <c r="B24" t="s">
        <v>604</v>
      </c>
      <c r="C24" t="s">
        <v>609</v>
      </c>
      <c r="D24">
        <v>1</v>
      </c>
      <c r="E24" t="s">
        <v>748</v>
      </c>
    </row>
    <row r="25" spans="1:5">
      <c r="A25" t="s">
        <v>575</v>
      </c>
      <c r="B25" t="s">
        <v>604</v>
      </c>
      <c r="C25" t="s">
        <v>609</v>
      </c>
      <c r="D25">
        <v>2</v>
      </c>
      <c r="E25" t="s">
        <v>867</v>
      </c>
    </row>
    <row r="26" spans="1:5">
      <c r="A26" t="s">
        <v>575</v>
      </c>
      <c r="B26" t="s">
        <v>605</v>
      </c>
      <c r="C26" t="s">
        <v>621</v>
      </c>
      <c r="D26">
        <v>1</v>
      </c>
      <c r="E26" t="s">
        <v>1029</v>
      </c>
    </row>
    <row r="27" spans="1:5">
      <c r="A27" t="s">
        <v>575</v>
      </c>
      <c r="B27" t="s">
        <v>605</v>
      </c>
      <c r="C27" t="s">
        <v>621</v>
      </c>
      <c r="D27">
        <v>2</v>
      </c>
      <c r="E27" t="s">
        <v>1030</v>
      </c>
    </row>
    <row r="28" spans="1:5">
      <c r="A28" t="s">
        <v>575</v>
      </c>
      <c r="B28" t="s">
        <v>606</v>
      </c>
      <c r="C28" t="s">
        <v>719</v>
      </c>
      <c r="D28">
        <v>1</v>
      </c>
      <c r="E28" t="s">
        <v>735</v>
      </c>
    </row>
    <row r="29" spans="1:5">
      <c r="A29" t="s">
        <v>575</v>
      </c>
      <c r="B29" t="s">
        <v>606</v>
      </c>
      <c r="C29" t="s">
        <v>719</v>
      </c>
      <c r="D29">
        <v>2</v>
      </c>
      <c r="E29" t="s">
        <v>751</v>
      </c>
    </row>
    <row r="30" spans="1:5">
      <c r="A30" t="s">
        <v>575</v>
      </c>
      <c r="B30" t="s">
        <v>607</v>
      </c>
      <c r="C30" t="s">
        <v>1037</v>
      </c>
      <c r="D30">
        <v>1</v>
      </c>
      <c r="E30" t="s">
        <v>1032</v>
      </c>
    </row>
    <row r="31" spans="1:5">
      <c r="A31" t="s">
        <v>575</v>
      </c>
      <c r="B31" t="s">
        <v>607</v>
      </c>
      <c r="C31" t="s">
        <v>1037</v>
      </c>
      <c r="D31">
        <v>2</v>
      </c>
      <c r="E31" t="s">
        <v>1033</v>
      </c>
    </row>
    <row r="32" spans="1:5">
      <c r="A32" t="s">
        <v>575</v>
      </c>
      <c r="B32" t="s">
        <v>608</v>
      </c>
      <c r="C32" t="s">
        <v>966</v>
      </c>
      <c r="D32">
        <v>1</v>
      </c>
      <c r="E32" t="s">
        <v>1000</v>
      </c>
    </row>
    <row r="33" spans="1:5">
      <c r="A33" t="s">
        <v>575</v>
      </c>
      <c r="B33" t="s">
        <v>608</v>
      </c>
      <c r="C33" t="s">
        <v>966</v>
      </c>
      <c r="D33">
        <v>2</v>
      </c>
      <c r="E33" t="s">
        <v>1001</v>
      </c>
    </row>
    <row r="34" spans="1:5">
      <c r="A34" t="s">
        <v>575</v>
      </c>
      <c r="B34" t="s">
        <v>608</v>
      </c>
      <c r="C34" t="s">
        <v>966</v>
      </c>
      <c r="D34">
        <v>3</v>
      </c>
      <c r="E34" t="s">
        <v>1002</v>
      </c>
    </row>
    <row r="35" spans="1:5">
      <c r="A35" t="s">
        <v>575</v>
      </c>
      <c r="B35" t="s">
        <v>610</v>
      </c>
      <c r="C35" t="s">
        <v>884</v>
      </c>
      <c r="D35">
        <v>1</v>
      </c>
      <c r="E35" t="s">
        <v>1035</v>
      </c>
    </row>
    <row r="36" spans="1:5">
      <c r="A36" t="s">
        <v>575</v>
      </c>
      <c r="B36" t="s">
        <v>610</v>
      </c>
      <c r="C36" t="s">
        <v>884</v>
      </c>
      <c r="D36">
        <v>2</v>
      </c>
      <c r="E36" t="s">
        <v>1036</v>
      </c>
    </row>
    <row r="37" spans="1:5">
      <c r="A37" t="s">
        <v>252</v>
      </c>
      <c r="B37" t="s">
        <v>611</v>
      </c>
      <c r="C37" t="s">
        <v>1060</v>
      </c>
      <c r="D37">
        <v>1</v>
      </c>
      <c r="E37" t="s">
        <v>1018</v>
      </c>
    </row>
    <row r="38" spans="1:5">
      <c r="A38" t="s">
        <v>252</v>
      </c>
      <c r="B38" t="s">
        <v>611</v>
      </c>
      <c r="C38" t="s">
        <v>1060</v>
      </c>
      <c r="D38">
        <v>2</v>
      </c>
      <c r="E38" t="s">
        <v>1061</v>
      </c>
    </row>
    <row r="39" spans="1:5">
      <c r="A39" t="s">
        <v>252</v>
      </c>
      <c r="B39" t="s">
        <v>611</v>
      </c>
      <c r="C39" t="s">
        <v>1060</v>
      </c>
      <c r="D39">
        <v>3</v>
      </c>
      <c r="E39" t="s">
        <v>1019</v>
      </c>
    </row>
    <row r="40" spans="1:5">
      <c r="A40" t="s">
        <v>252</v>
      </c>
      <c r="B40" t="s">
        <v>612</v>
      </c>
      <c r="C40" t="s">
        <v>567</v>
      </c>
      <c r="D40">
        <v>1</v>
      </c>
      <c r="E40" t="s">
        <v>568</v>
      </c>
    </row>
    <row r="41" spans="1:5">
      <c r="A41" t="s">
        <v>252</v>
      </c>
      <c r="B41" t="s">
        <v>613</v>
      </c>
      <c r="C41" t="s">
        <v>769</v>
      </c>
      <c r="D41">
        <v>1</v>
      </c>
      <c r="E41" t="s">
        <v>1108</v>
      </c>
    </row>
    <row r="42" spans="1:5">
      <c r="A42" t="s">
        <v>252</v>
      </c>
      <c r="B42" t="s">
        <v>614</v>
      </c>
      <c r="C42" t="s">
        <v>808</v>
      </c>
      <c r="D42">
        <v>1</v>
      </c>
      <c r="E42" t="s">
        <v>833</v>
      </c>
    </row>
    <row r="43" spans="1:5">
      <c r="A43" t="s">
        <v>252</v>
      </c>
      <c r="B43" t="s">
        <v>615</v>
      </c>
      <c r="C43" t="s">
        <v>1062</v>
      </c>
      <c r="D43">
        <v>1</v>
      </c>
      <c r="E43" t="s">
        <v>771</v>
      </c>
    </row>
    <row r="44" spans="1:5">
      <c r="A44" t="s">
        <v>252</v>
      </c>
      <c r="B44" t="s">
        <v>616</v>
      </c>
      <c r="C44" t="s">
        <v>617</v>
      </c>
      <c r="D44">
        <v>1</v>
      </c>
      <c r="E44" t="s">
        <v>529</v>
      </c>
    </row>
    <row r="45" spans="1:5">
      <c r="A45" t="s">
        <v>573</v>
      </c>
      <c r="B45" t="s">
        <v>620</v>
      </c>
      <c r="C45" t="s">
        <v>765</v>
      </c>
      <c r="D45">
        <v>1</v>
      </c>
      <c r="E45" t="s">
        <v>784</v>
      </c>
    </row>
    <row r="46" spans="1:5">
      <c r="A46" t="s">
        <v>573</v>
      </c>
      <c r="B46" t="s">
        <v>625</v>
      </c>
      <c r="C46" t="s">
        <v>775</v>
      </c>
      <c r="D46">
        <v>1</v>
      </c>
      <c r="E46" t="s">
        <v>774</v>
      </c>
    </row>
    <row r="47" spans="1:5">
      <c r="A47" t="s">
        <v>573</v>
      </c>
      <c r="B47" t="s">
        <v>625</v>
      </c>
      <c r="C47" t="s">
        <v>775</v>
      </c>
      <c r="D47">
        <v>2</v>
      </c>
      <c r="E47" t="s">
        <v>1072</v>
      </c>
    </row>
    <row r="48" spans="1:5">
      <c r="A48" t="s">
        <v>573</v>
      </c>
      <c r="B48" t="s">
        <v>626</v>
      </c>
      <c r="C48" t="s">
        <v>779</v>
      </c>
      <c r="D48">
        <v>1</v>
      </c>
      <c r="E48" t="s">
        <v>618</v>
      </c>
    </row>
    <row r="49" spans="1:5">
      <c r="A49" t="s">
        <v>573</v>
      </c>
      <c r="B49" t="s">
        <v>626</v>
      </c>
      <c r="C49" t="s">
        <v>779</v>
      </c>
      <c r="D49">
        <v>2</v>
      </c>
      <c r="E49" t="s">
        <v>785</v>
      </c>
    </row>
    <row r="50" spans="1:5">
      <c r="A50" t="s">
        <v>573</v>
      </c>
      <c r="B50" t="s">
        <v>627</v>
      </c>
      <c r="C50" t="s">
        <v>805</v>
      </c>
      <c r="D50">
        <v>1</v>
      </c>
      <c r="E50" t="s">
        <v>780</v>
      </c>
    </row>
    <row r="51" spans="1:5">
      <c r="A51" t="s">
        <v>573</v>
      </c>
      <c r="B51" t="s">
        <v>628</v>
      </c>
      <c r="C51" t="s">
        <v>711</v>
      </c>
      <c r="D51">
        <v>1</v>
      </c>
      <c r="E51" t="s">
        <v>622</v>
      </c>
    </row>
    <row r="52" spans="1:5">
      <c r="A52" t="s">
        <v>573</v>
      </c>
      <c r="B52" t="s">
        <v>628</v>
      </c>
      <c r="C52" t="s">
        <v>711</v>
      </c>
      <c r="D52">
        <v>2</v>
      </c>
      <c r="E52" t="s">
        <v>795</v>
      </c>
    </row>
    <row r="53" spans="1:5">
      <c r="A53" t="s">
        <v>573</v>
      </c>
      <c r="B53" t="s">
        <v>629</v>
      </c>
      <c r="C53" t="s">
        <v>623</v>
      </c>
      <c r="D53">
        <v>1</v>
      </c>
      <c r="E53" t="s">
        <v>781</v>
      </c>
    </row>
    <row r="54" spans="1:5">
      <c r="A54" t="s">
        <v>573</v>
      </c>
      <c r="B54" t="s">
        <v>630</v>
      </c>
      <c r="C54" t="s">
        <v>631</v>
      </c>
      <c r="D54">
        <v>1</v>
      </c>
      <c r="E54" t="s">
        <v>806</v>
      </c>
    </row>
    <row r="55" spans="1:5">
      <c r="A55" t="s">
        <v>573</v>
      </c>
      <c r="B55" t="s">
        <v>630</v>
      </c>
      <c r="C55" t="s">
        <v>631</v>
      </c>
      <c r="D55" s="326">
        <v>2</v>
      </c>
      <c r="E55" t="s">
        <v>1038</v>
      </c>
    </row>
    <row r="56" spans="1:5">
      <c r="A56" t="s">
        <v>573</v>
      </c>
      <c r="B56" t="s">
        <v>632</v>
      </c>
      <c r="C56" t="s">
        <v>1125</v>
      </c>
      <c r="D56">
        <v>1</v>
      </c>
      <c r="E56" t="s">
        <v>1051</v>
      </c>
    </row>
    <row r="57" spans="1:5">
      <c r="A57" t="s">
        <v>573</v>
      </c>
      <c r="B57" t="s">
        <v>802</v>
      </c>
      <c r="C57" t="s">
        <v>809</v>
      </c>
      <c r="D57">
        <v>1</v>
      </c>
      <c r="E57" t="s">
        <v>1075</v>
      </c>
    </row>
    <row r="58" spans="1:5">
      <c r="A58" t="s">
        <v>573</v>
      </c>
      <c r="B58" t="s">
        <v>802</v>
      </c>
      <c r="C58" t="s">
        <v>809</v>
      </c>
      <c r="D58">
        <v>2</v>
      </c>
      <c r="E58" t="s">
        <v>817</v>
      </c>
    </row>
    <row r="59" spans="1:5">
      <c r="A59" t="s">
        <v>573</v>
      </c>
      <c r="B59" t="s">
        <v>802</v>
      </c>
      <c r="C59" t="s">
        <v>809</v>
      </c>
      <c r="D59">
        <v>3</v>
      </c>
      <c r="E59" t="s">
        <v>1076</v>
      </c>
    </row>
    <row r="60" spans="1:5">
      <c r="A60" t="s">
        <v>573</v>
      </c>
      <c r="B60" t="s">
        <v>802</v>
      </c>
      <c r="C60" t="s">
        <v>809</v>
      </c>
      <c r="D60">
        <v>4</v>
      </c>
      <c r="E60" t="s">
        <v>1077</v>
      </c>
    </row>
    <row r="61" spans="1:5">
      <c r="A61" t="s">
        <v>573</v>
      </c>
      <c r="B61" t="s">
        <v>802</v>
      </c>
      <c r="C61" t="s">
        <v>809</v>
      </c>
      <c r="D61">
        <v>5</v>
      </c>
      <c r="E61" t="s">
        <v>815</v>
      </c>
    </row>
    <row r="62" spans="1:5">
      <c r="A62" t="s">
        <v>573</v>
      </c>
      <c r="B62" t="s">
        <v>802</v>
      </c>
      <c r="C62" t="s">
        <v>809</v>
      </c>
      <c r="D62">
        <v>6</v>
      </c>
      <c r="E62" t="s">
        <v>1109</v>
      </c>
    </row>
    <row r="63" spans="1:5">
      <c r="A63" t="s">
        <v>573</v>
      </c>
      <c r="B63" t="s">
        <v>818</v>
      </c>
      <c r="C63" t="s">
        <v>1078</v>
      </c>
      <c r="D63">
        <v>1</v>
      </c>
      <c r="E63" t="s">
        <v>1106</v>
      </c>
    </row>
    <row r="64" spans="1:5">
      <c r="A64" t="s">
        <v>573</v>
      </c>
      <c r="B64" t="s">
        <v>818</v>
      </c>
      <c r="C64" t="s">
        <v>1078</v>
      </c>
      <c r="D64">
        <v>2</v>
      </c>
      <c r="E64" t="s">
        <v>820</v>
      </c>
    </row>
    <row r="65" spans="1:5">
      <c r="A65" t="s">
        <v>633</v>
      </c>
      <c r="B65" t="s">
        <v>634</v>
      </c>
      <c r="C65" t="s">
        <v>998</v>
      </c>
      <c r="D65">
        <v>1</v>
      </c>
      <c r="E65" t="s">
        <v>993</v>
      </c>
    </row>
    <row r="66" spans="1:5">
      <c r="A66" t="s">
        <v>633</v>
      </c>
      <c r="B66" t="s">
        <v>635</v>
      </c>
      <c r="C66" t="s">
        <v>637</v>
      </c>
      <c r="D66">
        <v>1</v>
      </c>
      <c r="E66" t="s">
        <v>1042</v>
      </c>
    </row>
    <row r="67" spans="1:5">
      <c r="A67" t="s">
        <v>633</v>
      </c>
      <c r="B67" t="s">
        <v>636</v>
      </c>
      <c r="C67" t="s">
        <v>870</v>
      </c>
      <c r="D67">
        <v>1</v>
      </c>
      <c r="E67" t="s">
        <v>639</v>
      </c>
    </row>
    <row r="68" spans="1:5">
      <c r="A68" t="s">
        <v>633</v>
      </c>
      <c r="B68" t="s">
        <v>638</v>
      </c>
      <c r="C68" t="s">
        <v>569</v>
      </c>
      <c r="D68">
        <v>1</v>
      </c>
      <c r="E68" t="s">
        <v>570</v>
      </c>
    </row>
    <row r="69" spans="1:5">
      <c r="A69" t="s">
        <v>633</v>
      </c>
      <c r="B69" t="s">
        <v>640</v>
      </c>
      <c r="C69" t="s">
        <v>1092</v>
      </c>
      <c r="D69">
        <v>1</v>
      </c>
      <c r="E69" t="s">
        <v>447</v>
      </c>
    </row>
    <row r="70" spans="1:5">
      <c r="A70" t="s">
        <v>633</v>
      </c>
      <c r="B70" t="s">
        <v>640</v>
      </c>
      <c r="C70" t="s">
        <v>1092</v>
      </c>
      <c r="D70">
        <v>2</v>
      </c>
      <c r="E70" t="s">
        <v>426</v>
      </c>
    </row>
    <row r="71" spans="1:5">
      <c r="A71" t="s">
        <v>633</v>
      </c>
      <c r="B71" t="s">
        <v>640</v>
      </c>
      <c r="C71" t="s">
        <v>1092</v>
      </c>
      <c r="D71">
        <v>3</v>
      </c>
      <c r="E71" t="s">
        <v>429</v>
      </c>
    </row>
    <row r="72" spans="1:5">
      <c r="A72" t="s">
        <v>633</v>
      </c>
      <c r="B72" t="s">
        <v>640</v>
      </c>
      <c r="C72" t="s">
        <v>1092</v>
      </c>
      <c r="D72">
        <v>4</v>
      </c>
      <c r="E72" t="s">
        <v>997</v>
      </c>
    </row>
    <row r="73" spans="1:5">
      <c r="A73" t="s">
        <v>633</v>
      </c>
      <c r="B73" t="s">
        <v>641</v>
      </c>
      <c r="C73" t="s">
        <v>642</v>
      </c>
      <c r="D73">
        <v>1</v>
      </c>
      <c r="E73" t="s">
        <v>560</v>
      </c>
    </row>
    <row r="74" spans="1:5">
      <c r="A74" t="s">
        <v>633</v>
      </c>
      <c r="B74" t="s">
        <v>741</v>
      </c>
      <c r="C74" t="s">
        <v>646</v>
      </c>
      <c r="D74">
        <v>1</v>
      </c>
      <c r="E74" t="s">
        <v>643</v>
      </c>
    </row>
    <row r="75" spans="1:5">
      <c r="A75" t="s">
        <v>633</v>
      </c>
      <c r="B75" t="s">
        <v>741</v>
      </c>
      <c r="C75" t="s">
        <v>646</v>
      </c>
      <c r="D75">
        <v>2</v>
      </c>
      <c r="E75" t="s">
        <v>644</v>
      </c>
    </row>
    <row r="76" spans="1:5">
      <c r="A76" t="s">
        <v>633</v>
      </c>
      <c r="B76" t="s">
        <v>741</v>
      </c>
      <c r="C76" t="s">
        <v>646</v>
      </c>
      <c r="D76">
        <v>3</v>
      </c>
      <c r="E76" t="s">
        <v>645</v>
      </c>
    </row>
    <row r="77" spans="1:5">
      <c r="A77" t="s">
        <v>633</v>
      </c>
      <c r="B77" t="s">
        <v>741</v>
      </c>
      <c r="C77" t="s">
        <v>646</v>
      </c>
      <c r="D77">
        <v>4</v>
      </c>
      <c r="E77" t="s">
        <v>1083</v>
      </c>
    </row>
    <row r="78" spans="1:5">
      <c r="A78" t="s">
        <v>633</v>
      </c>
      <c r="B78" t="s">
        <v>741</v>
      </c>
      <c r="C78" t="s">
        <v>646</v>
      </c>
      <c r="D78">
        <v>5</v>
      </c>
      <c r="E78" t="s">
        <v>1004</v>
      </c>
    </row>
    <row r="79" spans="1:5">
      <c r="A79" t="s">
        <v>273</v>
      </c>
      <c r="B79" t="s">
        <v>647</v>
      </c>
      <c r="C79" t="s">
        <v>981</v>
      </c>
      <c r="D79">
        <v>1</v>
      </c>
      <c r="E79" t="s">
        <v>794</v>
      </c>
    </row>
    <row r="80" spans="1:5">
      <c r="A80" t="s">
        <v>273</v>
      </c>
      <c r="B80" t="s">
        <v>647</v>
      </c>
      <c r="C80" t="s">
        <v>981</v>
      </c>
      <c r="D80">
        <v>2</v>
      </c>
      <c r="E80" t="s">
        <v>985</v>
      </c>
    </row>
    <row r="81" spans="1:5">
      <c r="A81" t="s">
        <v>273</v>
      </c>
      <c r="B81" t="s">
        <v>647</v>
      </c>
      <c r="C81" t="s">
        <v>981</v>
      </c>
      <c r="D81">
        <v>3</v>
      </c>
      <c r="E81" t="s">
        <v>987</v>
      </c>
    </row>
    <row r="82" spans="1:5">
      <c r="A82" t="s">
        <v>273</v>
      </c>
      <c r="B82" t="s">
        <v>647</v>
      </c>
      <c r="C82" t="s">
        <v>981</v>
      </c>
      <c r="D82">
        <v>4</v>
      </c>
      <c r="E82" t="s">
        <v>988</v>
      </c>
    </row>
    <row r="83" spans="1:5">
      <c r="A83" t="s">
        <v>273</v>
      </c>
      <c r="B83" t="s">
        <v>648</v>
      </c>
      <c r="C83" t="s">
        <v>968</v>
      </c>
      <c r="D83">
        <v>1</v>
      </c>
      <c r="E83" t="s">
        <v>970</v>
      </c>
    </row>
    <row r="84" spans="1:5">
      <c r="A84" t="s">
        <v>273</v>
      </c>
      <c r="B84" t="s">
        <v>648</v>
      </c>
      <c r="C84" t="s">
        <v>968</v>
      </c>
      <c r="D84">
        <v>2</v>
      </c>
      <c r="E84" t="s">
        <v>971</v>
      </c>
    </row>
    <row r="85" spans="1:5">
      <c r="A85" t="s">
        <v>273</v>
      </c>
      <c r="B85" t="s">
        <v>648</v>
      </c>
      <c r="C85" t="s">
        <v>968</v>
      </c>
      <c r="D85">
        <v>3</v>
      </c>
      <c r="E85" t="s">
        <v>1085</v>
      </c>
    </row>
    <row r="86" spans="1:5">
      <c r="A86" t="s">
        <v>273</v>
      </c>
      <c r="B86" t="s">
        <v>648</v>
      </c>
      <c r="C86" t="s">
        <v>968</v>
      </c>
      <c r="D86">
        <v>4</v>
      </c>
      <c r="E86" t="s">
        <v>1086</v>
      </c>
    </row>
    <row r="87" spans="1:5">
      <c r="A87" t="s">
        <v>273</v>
      </c>
      <c r="B87" t="s">
        <v>649</v>
      </c>
      <c r="C87" t="s">
        <v>975</v>
      </c>
      <c r="D87">
        <v>1</v>
      </c>
      <c r="E87" t="s">
        <v>978</v>
      </c>
    </row>
    <row r="88" spans="1:5">
      <c r="A88" t="s">
        <v>273</v>
      </c>
      <c r="B88" t="s">
        <v>649</v>
      </c>
      <c r="C88" t="s">
        <v>975</v>
      </c>
      <c r="D88">
        <v>2</v>
      </c>
      <c r="E88" t="s">
        <v>979</v>
      </c>
    </row>
    <row r="89" spans="1:5">
      <c r="A89" t="s">
        <v>273</v>
      </c>
      <c r="B89" t="s">
        <v>649</v>
      </c>
      <c r="C89" t="s">
        <v>975</v>
      </c>
      <c r="D89">
        <v>3</v>
      </c>
      <c r="E89" t="s">
        <v>980</v>
      </c>
    </row>
    <row r="90" spans="1:5">
      <c r="A90" t="s">
        <v>273</v>
      </c>
      <c r="B90" t="s">
        <v>649</v>
      </c>
      <c r="C90" t="s">
        <v>975</v>
      </c>
      <c r="D90">
        <v>4</v>
      </c>
      <c r="E90" t="s">
        <v>1104</v>
      </c>
    </row>
    <row r="91" spans="1:5">
      <c r="A91" t="s">
        <v>273</v>
      </c>
      <c r="B91" t="s">
        <v>650</v>
      </c>
      <c r="C91" t="s">
        <v>974</v>
      </c>
      <c r="D91">
        <v>1</v>
      </c>
      <c r="E91" t="s">
        <v>1119</v>
      </c>
    </row>
    <row r="92" spans="1:5">
      <c r="A92" t="s">
        <v>273</v>
      </c>
      <c r="B92" t="s">
        <v>650</v>
      </c>
      <c r="C92" t="s">
        <v>974</v>
      </c>
      <c r="D92">
        <v>2</v>
      </c>
      <c r="E92" t="s">
        <v>659</v>
      </c>
    </row>
    <row r="93" spans="1:5">
      <c r="A93" t="s">
        <v>273</v>
      </c>
      <c r="B93" t="s">
        <v>651</v>
      </c>
      <c r="C93" t="s">
        <v>658</v>
      </c>
      <c r="D93">
        <v>1</v>
      </c>
      <c r="E93" t="s">
        <v>796</v>
      </c>
    </row>
    <row r="94" spans="1:5">
      <c r="A94" t="s">
        <v>574</v>
      </c>
      <c r="B94" t="s">
        <v>652</v>
      </c>
      <c r="C94" t="s">
        <v>709</v>
      </c>
      <c r="D94">
        <v>1</v>
      </c>
      <c r="E94" t="s">
        <v>1007</v>
      </c>
    </row>
    <row r="95" spans="1:5">
      <c r="A95" t="s">
        <v>574</v>
      </c>
      <c r="B95" t="s">
        <v>653</v>
      </c>
      <c r="C95" t="s">
        <v>799</v>
      </c>
      <c r="D95">
        <v>1</v>
      </c>
      <c r="E95" t="s">
        <v>798</v>
      </c>
    </row>
    <row r="96" spans="1:5">
      <c r="A96" t="s">
        <v>574</v>
      </c>
      <c r="B96" t="s">
        <v>654</v>
      </c>
      <c r="C96" t="s">
        <v>860</v>
      </c>
      <c r="D96">
        <v>1</v>
      </c>
      <c r="E96" t="s">
        <v>800</v>
      </c>
    </row>
    <row r="97" spans="1:5">
      <c r="A97" t="s">
        <v>574</v>
      </c>
      <c r="B97" t="s">
        <v>655</v>
      </c>
      <c r="C97" t="s">
        <v>555</v>
      </c>
      <c r="D97">
        <v>1</v>
      </c>
      <c r="E97" t="s">
        <v>1088</v>
      </c>
    </row>
    <row r="98" spans="1:5">
      <c r="A98" t="s">
        <v>574</v>
      </c>
      <c r="B98" t="s">
        <v>655</v>
      </c>
      <c r="C98" t="s">
        <v>555</v>
      </c>
      <c r="D98">
        <v>2</v>
      </c>
      <c r="E98" t="s">
        <v>963</v>
      </c>
    </row>
    <row r="99" spans="1:5" ht="15" customHeight="1">
      <c r="A99" t="s">
        <v>574</v>
      </c>
      <c r="B99" t="s">
        <v>656</v>
      </c>
      <c r="C99" t="s">
        <v>710</v>
      </c>
      <c r="D99">
        <v>1</v>
      </c>
      <c r="E99" t="s">
        <v>510</v>
      </c>
    </row>
  </sheetData>
  <autoFilter ref="A2:E99" xr:uid="{00000000-0009-0000-0000-00000C000000}"/>
  <phoneticPr fontId="3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113"/>
  <sheetViews>
    <sheetView showGridLines="0" topLeftCell="A12" zoomScaleNormal="100" zoomScaleSheetLayoutView="100" workbookViewId="0">
      <selection activeCell="F14" sqref="F14:F16"/>
    </sheetView>
  </sheetViews>
  <sheetFormatPr baseColWidth="10" defaultColWidth="0" defaultRowHeight="15"/>
  <cols>
    <col min="1" max="1" width="3.140625" customWidth="1"/>
    <col min="2" max="2" width="30.42578125" customWidth="1"/>
    <col min="3" max="3" width="47.140625" customWidth="1"/>
    <col min="4" max="4" width="26.42578125" customWidth="1"/>
    <col min="5" max="5" width="32" style="8" customWidth="1"/>
    <col min="6" max="6" width="23.7109375" style="8" customWidth="1"/>
    <col min="7" max="7" width="23.85546875" style="8" customWidth="1"/>
    <col min="8" max="8" width="3.85546875" customWidth="1"/>
    <col min="9" max="16384" width="11.42578125" hidden="1"/>
  </cols>
  <sheetData>
    <row r="2" spans="2:7" ht="23.25" customHeight="1">
      <c r="B2" s="1022" t="s">
        <v>17</v>
      </c>
      <c r="C2" s="1022"/>
      <c r="D2" s="1022"/>
      <c r="E2" s="1022"/>
      <c r="F2" s="1022"/>
      <c r="G2" s="1022"/>
    </row>
    <row r="3" spans="2:7" ht="30.75" customHeight="1">
      <c r="B3" s="1023" t="s">
        <v>0</v>
      </c>
      <c r="C3" s="1023"/>
      <c r="D3" s="1023"/>
      <c r="E3" s="1023"/>
      <c r="F3" s="1023"/>
      <c r="G3" s="1023"/>
    </row>
    <row r="4" spans="2:7" ht="57" customHeight="1">
      <c r="B4" s="1024" t="s">
        <v>110</v>
      </c>
      <c r="C4" s="1025"/>
      <c r="D4" s="1025"/>
      <c r="E4" s="1025"/>
      <c r="F4" s="1025"/>
      <c r="G4" s="1026"/>
    </row>
    <row r="5" spans="2:7" ht="15.75">
      <c r="B5" s="6" t="s">
        <v>1</v>
      </c>
      <c r="C5" s="6" t="s">
        <v>2</v>
      </c>
      <c r="D5" s="6" t="s">
        <v>115</v>
      </c>
      <c r="E5" s="9" t="s">
        <v>114</v>
      </c>
      <c r="F5" s="9" t="s">
        <v>155</v>
      </c>
      <c r="G5" s="9" t="s">
        <v>156</v>
      </c>
    </row>
    <row r="6" spans="2:7" ht="30.75" customHeight="1">
      <c r="B6" s="1015" t="s">
        <v>3</v>
      </c>
      <c r="C6" s="1" t="s">
        <v>13</v>
      </c>
      <c r="D6" s="1015" t="s">
        <v>116</v>
      </c>
      <c r="E6" s="1012" t="s">
        <v>116</v>
      </c>
      <c r="F6" s="1012" t="s">
        <v>157</v>
      </c>
      <c r="G6" s="1012" t="s">
        <v>157</v>
      </c>
    </row>
    <row r="7" spans="2:7" ht="47.25" customHeight="1">
      <c r="B7" s="1015"/>
      <c r="C7" s="1" t="s">
        <v>14</v>
      </c>
      <c r="D7" s="1015"/>
      <c r="E7" s="1012"/>
      <c r="F7" s="1012"/>
      <c r="G7" s="1012"/>
    </row>
    <row r="8" spans="2:7" ht="38.25" customHeight="1">
      <c r="B8" s="1015"/>
      <c r="C8" s="1" t="s">
        <v>15</v>
      </c>
      <c r="D8" s="1015"/>
      <c r="E8" s="1012"/>
      <c r="F8" s="1012"/>
      <c r="G8" s="1012"/>
    </row>
    <row r="9" spans="2:7" ht="52.5" customHeight="1">
      <c r="B9" s="1015"/>
      <c r="C9" s="1" t="s">
        <v>16</v>
      </c>
      <c r="D9" s="1015"/>
      <c r="E9" s="1012"/>
      <c r="F9" s="1012"/>
      <c r="G9" s="1012"/>
    </row>
    <row r="10" spans="2:7" ht="116.25" customHeight="1">
      <c r="B10" s="11" t="s">
        <v>4</v>
      </c>
      <c r="C10" s="11" t="s">
        <v>18</v>
      </c>
      <c r="D10" s="11" t="s">
        <v>117</v>
      </c>
      <c r="E10" s="14" t="s">
        <v>211</v>
      </c>
      <c r="F10" s="36">
        <v>24263</v>
      </c>
      <c r="G10" s="36">
        <v>32000</v>
      </c>
    </row>
    <row r="11" spans="2:7" ht="106.5" customHeight="1">
      <c r="B11" s="11" t="s">
        <v>5</v>
      </c>
      <c r="C11" s="11" t="s">
        <v>18</v>
      </c>
      <c r="D11" s="11" t="s">
        <v>118</v>
      </c>
      <c r="E11" s="14" t="s">
        <v>212</v>
      </c>
      <c r="F11" s="36">
        <v>2972</v>
      </c>
      <c r="G11" s="36">
        <v>4904</v>
      </c>
    </row>
    <row r="12" spans="2:7" ht="72.75" customHeight="1">
      <c r="B12" s="11" t="s">
        <v>6</v>
      </c>
      <c r="C12" s="11" t="s">
        <v>19</v>
      </c>
      <c r="D12" s="11" t="s">
        <v>119</v>
      </c>
      <c r="E12" s="14" t="s">
        <v>125</v>
      </c>
      <c r="F12" s="10">
        <v>81</v>
      </c>
      <c r="G12" s="10">
        <v>104</v>
      </c>
    </row>
    <row r="13" spans="2:7" ht="90">
      <c r="B13" s="11" t="s">
        <v>7</v>
      </c>
      <c r="C13" s="11" t="s">
        <v>19</v>
      </c>
      <c r="D13" s="11" t="s">
        <v>120</v>
      </c>
      <c r="E13" s="14" t="s">
        <v>213</v>
      </c>
      <c r="F13" s="23">
        <f>((81-3)/81)</f>
        <v>0.96296296296296291</v>
      </c>
      <c r="G13" s="22">
        <v>1</v>
      </c>
    </row>
    <row r="14" spans="2:7" ht="81.75" customHeight="1">
      <c r="B14" s="850" t="s">
        <v>8</v>
      </c>
      <c r="C14" s="11" t="s">
        <v>159</v>
      </c>
      <c r="D14" s="850" t="s">
        <v>121</v>
      </c>
      <c r="E14" s="1033" t="s">
        <v>214</v>
      </c>
      <c r="F14" s="1027">
        <v>0.33</v>
      </c>
      <c r="G14" s="1027">
        <v>0.5</v>
      </c>
    </row>
    <row r="15" spans="2:7" ht="61.5" customHeight="1">
      <c r="B15" s="1020"/>
      <c r="C15" s="11" t="s">
        <v>20</v>
      </c>
      <c r="D15" s="1020"/>
      <c r="E15" s="1034"/>
      <c r="F15" s="1028"/>
      <c r="G15" s="1028"/>
    </row>
    <row r="16" spans="2:7" ht="63.75" customHeight="1">
      <c r="B16" s="851"/>
      <c r="C16" s="11" t="s">
        <v>21</v>
      </c>
      <c r="D16" s="851"/>
      <c r="E16" s="1035"/>
      <c r="F16" s="1029"/>
      <c r="G16" s="1029"/>
    </row>
    <row r="17" spans="2:7" ht="86.25" customHeight="1">
      <c r="B17" s="1021" t="s">
        <v>162</v>
      </c>
      <c r="C17" s="17" t="s">
        <v>159</v>
      </c>
      <c r="D17" s="1021" t="s">
        <v>238</v>
      </c>
      <c r="E17" s="1036" t="s">
        <v>158</v>
      </c>
      <c r="F17" s="1030">
        <v>31</v>
      </c>
      <c r="G17" s="1030">
        <v>74</v>
      </c>
    </row>
    <row r="18" spans="2:7" ht="63.75" customHeight="1">
      <c r="B18" s="1021"/>
      <c r="C18" s="17" t="s">
        <v>20</v>
      </c>
      <c r="D18" s="1021"/>
      <c r="E18" s="1037"/>
      <c r="F18" s="1030"/>
      <c r="G18" s="1030"/>
    </row>
    <row r="19" spans="2:7" ht="63.75" customHeight="1">
      <c r="B19" s="1021"/>
      <c r="C19" s="17" t="s">
        <v>21</v>
      </c>
      <c r="D19" s="1021"/>
      <c r="E19" s="1038"/>
      <c r="F19" s="1030"/>
      <c r="G19" s="1030"/>
    </row>
    <row r="20" spans="2:7" ht="56.25" customHeight="1">
      <c r="B20" s="1015" t="s">
        <v>9</v>
      </c>
      <c r="C20" s="11" t="s">
        <v>22</v>
      </c>
      <c r="D20" s="1015" t="s">
        <v>154</v>
      </c>
      <c r="E20" s="1012" t="s">
        <v>215</v>
      </c>
      <c r="F20" s="1032">
        <v>1.2999999999999999E-2</v>
      </c>
      <c r="G20" s="1031">
        <v>0.2</v>
      </c>
    </row>
    <row r="21" spans="2:7" ht="56.25" customHeight="1">
      <c r="B21" s="1015"/>
      <c r="C21" s="11" t="s">
        <v>23</v>
      </c>
      <c r="D21" s="1015"/>
      <c r="E21" s="1012"/>
      <c r="F21" s="1012"/>
      <c r="G21" s="1012"/>
    </row>
    <row r="22" spans="2:7" ht="60">
      <c r="B22" s="11" t="s">
        <v>10</v>
      </c>
      <c r="C22" s="11" t="s">
        <v>24</v>
      </c>
      <c r="D22" s="11" t="s">
        <v>122</v>
      </c>
      <c r="E22" s="14" t="s">
        <v>216</v>
      </c>
      <c r="F22" s="24">
        <v>2.3999999999999998E-3</v>
      </c>
      <c r="G22" s="24">
        <v>1.2999999999999999E-2</v>
      </c>
    </row>
    <row r="23" spans="2:7" ht="56.25" customHeight="1">
      <c r="B23" s="11" t="s">
        <v>314</v>
      </c>
      <c r="C23" s="11" t="s">
        <v>24</v>
      </c>
      <c r="D23" s="11" t="s">
        <v>123</v>
      </c>
      <c r="E23" s="38" t="s">
        <v>236</v>
      </c>
      <c r="F23" s="24">
        <v>5.0000000000000001E-3</v>
      </c>
      <c r="G23" s="22">
        <v>0.05</v>
      </c>
    </row>
    <row r="24" spans="2:7" ht="90.75" customHeight="1">
      <c r="B24" s="1017" t="s">
        <v>161</v>
      </c>
      <c r="C24" s="51" t="s">
        <v>295</v>
      </c>
      <c r="D24" s="15" t="s">
        <v>181</v>
      </c>
      <c r="E24" s="18" t="s">
        <v>217</v>
      </c>
      <c r="F24" s="25">
        <v>0.16500000000000001</v>
      </c>
      <c r="G24" s="26">
        <v>0.6</v>
      </c>
    </row>
    <row r="25" spans="2:7" ht="119.25" customHeight="1">
      <c r="B25" s="1018"/>
      <c r="C25" s="51" t="s">
        <v>24</v>
      </c>
      <c r="D25" s="15" t="s">
        <v>182</v>
      </c>
      <c r="E25" s="18" t="s">
        <v>218</v>
      </c>
      <c r="F25" s="25">
        <v>1.0200000000000001E-2</v>
      </c>
      <c r="G25" s="26">
        <v>0.1</v>
      </c>
    </row>
    <row r="26" spans="2:7" ht="88.5" customHeight="1">
      <c r="B26" s="1018"/>
      <c r="C26" s="1016" t="s">
        <v>160</v>
      </c>
      <c r="D26" s="15" t="s">
        <v>183</v>
      </c>
      <c r="E26" s="18" t="s">
        <v>219</v>
      </c>
      <c r="F26" s="25">
        <v>4.82E-2</v>
      </c>
      <c r="G26" s="26">
        <v>0.15</v>
      </c>
    </row>
    <row r="27" spans="2:7" ht="126" customHeight="1">
      <c r="B27" s="1019"/>
      <c r="C27" s="1016"/>
      <c r="D27" s="15" t="s">
        <v>184</v>
      </c>
      <c r="E27" s="18" t="s">
        <v>220</v>
      </c>
      <c r="F27" s="25">
        <v>2.5000000000000001E-3</v>
      </c>
      <c r="G27" s="26">
        <v>0.03</v>
      </c>
    </row>
    <row r="28" spans="2:7" ht="47.25" customHeight="1">
      <c r="B28" s="1015" t="s">
        <v>11</v>
      </c>
      <c r="C28" s="21" t="s">
        <v>25</v>
      </c>
      <c r="D28" s="1015" t="s">
        <v>124</v>
      </c>
      <c r="E28" s="1012" t="s">
        <v>221</v>
      </c>
      <c r="F28" s="1012">
        <v>0</v>
      </c>
      <c r="G28" s="1011">
        <v>2000</v>
      </c>
    </row>
    <row r="29" spans="2:7" ht="156.75" customHeight="1">
      <c r="B29" s="1015"/>
      <c r="C29" s="11" t="s">
        <v>26</v>
      </c>
      <c r="D29" s="1015"/>
      <c r="E29" s="1012"/>
      <c r="F29" s="1012"/>
      <c r="G29" s="1012"/>
    </row>
    <row r="30" spans="2:7" ht="48.75" customHeight="1">
      <c r="B30" s="1016" t="s">
        <v>239</v>
      </c>
      <c r="C30" s="15" t="s">
        <v>27</v>
      </c>
      <c r="D30" s="1016" t="s">
        <v>185</v>
      </c>
      <c r="E30" s="1014" t="s">
        <v>227</v>
      </c>
      <c r="F30" s="1013">
        <v>0.1517</v>
      </c>
      <c r="G30" s="1013">
        <v>0.13600000000000001</v>
      </c>
    </row>
    <row r="31" spans="2:7" ht="56.25" customHeight="1">
      <c r="B31" s="1016"/>
      <c r="C31" s="15" t="s">
        <v>28</v>
      </c>
      <c r="D31" s="1016"/>
      <c r="E31" s="1014"/>
      <c r="F31" s="1014"/>
      <c r="G31" s="1014"/>
    </row>
    <row r="32" spans="2:7" ht="65.25" customHeight="1">
      <c r="B32" s="1016"/>
      <c r="C32" s="15" t="s">
        <v>29</v>
      </c>
      <c r="D32" s="1016"/>
      <c r="E32" s="1014"/>
      <c r="F32" s="1014"/>
      <c r="G32" s="1014"/>
    </row>
    <row r="33" spans="2:7" ht="89.25" customHeight="1">
      <c r="B33" s="1016"/>
      <c r="C33" s="15" t="s">
        <v>30</v>
      </c>
      <c r="D33" s="1016"/>
      <c r="E33" s="1014"/>
      <c r="F33" s="1014"/>
      <c r="G33" s="1014"/>
    </row>
    <row r="34" spans="2:7" ht="73.5" customHeight="1">
      <c r="B34" s="39" t="s">
        <v>12</v>
      </c>
      <c r="C34" s="39" t="s">
        <v>31</v>
      </c>
      <c r="D34" s="40" t="s">
        <v>210</v>
      </c>
      <c r="E34" s="40" t="s">
        <v>222</v>
      </c>
      <c r="F34" s="40">
        <v>0</v>
      </c>
      <c r="G34" s="41">
        <v>1</v>
      </c>
    </row>
    <row r="35" spans="2:7" s="4" customFormat="1" ht="15" customHeight="1">
      <c r="B35" s="2"/>
      <c r="C35" s="2"/>
      <c r="D35" s="2"/>
      <c r="E35" s="7"/>
      <c r="F35" s="7"/>
      <c r="G35" s="7"/>
    </row>
    <row r="36" spans="2:7" ht="18">
      <c r="B36" s="1022" t="s">
        <v>32</v>
      </c>
      <c r="C36" s="1022"/>
      <c r="D36" s="1022"/>
      <c r="E36" s="1022"/>
      <c r="F36" s="1022"/>
      <c r="G36" s="1022"/>
    </row>
    <row r="37" spans="2:7" ht="30.75" customHeight="1">
      <c r="B37" s="1039" t="s">
        <v>33</v>
      </c>
      <c r="C37" s="1040"/>
      <c r="D37" s="1040"/>
      <c r="E37" s="1040"/>
      <c r="F37" s="1040"/>
      <c r="G37" s="1041"/>
    </row>
    <row r="38" spans="2:7" ht="42" customHeight="1">
      <c r="B38" s="1042" t="s">
        <v>111</v>
      </c>
      <c r="C38" s="1043"/>
      <c r="D38" s="1043"/>
      <c r="E38" s="1043"/>
      <c r="F38" s="1043"/>
      <c r="G38" s="1044"/>
    </row>
    <row r="39" spans="2:7" ht="15.75">
      <c r="B39" s="6" t="s">
        <v>1</v>
      </c>
      <c r="C39" s="6" t="s">
        <v>2</v>
      </c>
      <c r="D39" s="6" t="s">
        <v>115</v>
      </c>
      <c r="E39" s="9" t="s">
        <v>114</v>
      </c>
      <c r="F39" s="9" t="s">
        <v>155</v>
      </c>
      <c r="G39" s="9" t="s">
        <v>156</v>
      </c>
    </row>
    <row r="40" spans="2:7" ht="120">
      <c r="B40" s="860" t="s">
        <v>37</v>
      </c>
      <c r="C40" s="5" t="s">
        <v>34</v>
      </c>
      <c r="D40" s="860" t="s">
        <v>126</v>
      </c>
      <c r="E40" s="867" t="s">
        <v>127</v>
      </c>
      <c r="F40" s="867">
        <v>81</v>
      </c>
      <c r="G40" s="867">
        <v>104</v>
      </c>
    </row>
    <row r="41" spans="2:7" ht="60">
      <c r="B41" s="1045"/>
      <c r="C41" s="5" t="s">
        <v>35</v>
      </c>
      <c r="D41" s="1045"/>
      <c r="E41" s="1046"/>
      <c r="F41" s="1046"/>
      <c r="G41" s="1046"/>
    </row>
    <row r="42" spans="2:7" ht="100.5" customHeight="1">
      <c r="B42" s="849"/>
      <c r="C42" s="5" t="s">
        <v>36</v>
      </c>
      <c r="D42" s="849"/>
      <c r="E42" s="868"/>
      <c r="F42" s="868"/>
      <c r="G42" s="868"/>
    </row>
    <row r="43" spans="2:7" ht="45">
      <c r="B43" s="1047" t="s">
        <v>208</v>
      </c>
      <c r="C43" s="15" t="s">
        <v>38</v>
      </c>
      <c r="D43" s="1047" t="s">
        <v>163</v>
      </c>
      <c r="E43" s="1036" t="s">
        <v>164</v>
      </c>
      <c r="F43" s="1059">
        <v>0.51400000000000001</v>
      </c>
      <c r="G43" s="1050">
        <v>0.7</v>
      </c>
    </row>
    <row r="44" spans="2:7" ht="39.75" customHeight="1">
      <c r="B44" s="1048"/>
      <c r="C44" s="15" t="s">
        <v>39</v>
      </c>
      <c r="D44" s="1048"/>
      <c r="E44" s="1037"/>
      <c r="F44" s="1051"/>
      <c r="G44" s="1051"/>
    </row>
    <row r="45" spans="2:7" ht="60">
      <c r="B45" s="1049"/>
      <c r="C45" s="15" t="s">
        <v>40</v>
      </c>
      <c r="D45" s="1049"/>
      <c r="E45" s="1038"/>
      <c r="F45" s="1052"/>
      <c r="G45" s="1052"/>
    </row>
    <row r="46" spans="2:7" ht="66.75" customHeight="1">
      <c r="B46" s="5" t="s">
        <v>46</v>
      </c>
      <c r="C46" s="5" t="s">
        <v>41</v>
      </c>
      <c r="D46" s="5" t="s">
        <v>128</v>
      </c>
      <c r="E46" s="10" t="s">
        <v>223</v>
      </c>
      <c r="F46" s="22" t="s">
        <v>166</v>
      </c>
      <c r="G46" s="22">
        <v>0.7</v>
      </c>
    </row>
    <row r="47" spans="2:7" ht="186" customHeight="1">
      <c r="B47" s="17" t="s">
        <v>225</v>
      </c>
      <c r="C47" s="17" t="s">
        <v>42</v>
      </c>
      <c r="D47" s="17" t="s">
        <v>129</v>
      </c>
      <c r="E47" s="18" t="s">
        <v>130</v>
      </c>
      <c r="F47" s="37" t="s">
        <v>165</v>
      </c>
      <c r="G47" s="37" t="s">
        <v>165</v>
      </c>
    </row>
    <row r="48" spans="2:7" ht="60">
      <c r="B48" s="1053" t="s">
        <v>47</v>
      </c>
      <c r="C48" s="5" t="s">
        <v>43</v>
      </c>
      <c r="D48" s="1053" t="s">
        <v>131</v>
      </c>
      <c r="E48" s="1060" t="s">
        <v>224</v>
      </c>
      <c r="F48" s="1060" t="s">
        <v>166</v>
      </c>
      <c r="G48" s="1056">
        <v>0.9</v>
      </c>
    </row>
    <row r="49" spans="2:7" ht="90">
      <c r="B49" s="1054"/>
      <c r="C49" s="5" t="s">
        <v>44</v>
      </c>
      <c r="D49" s="1054"/>
      <c r="E49" s="1057"/>
      <c r="F49" s="1057"/>
      <c r="G49" s="1057"/>
    </row>
    <row r="50" spans="2:7" ht="30">
      <c r="B50" s="1055"/>
      <c r="C50" s="5" t="s">
        <v>45</v>
      </c>
      <c r="D50" s="1055"/>
      <c r="E50" s="1058"/>
      <c r="F50" s="1058"/>
      <c r="G50" s="1058"/>
    </row>
    <row r="52" spans="2:7" ht="18">
      <c r="B52" s="1022" t="s">
        <v>48</v>
      </c>
      <c r="C52" s="1022"/>
      <c r="D52" s="1022"/>
      <c r="E52" s="1022"/>
      <c r="F52" s="1022"/>
      <c r="G52" s="1022"/>
    </row>
    <row r="53" spans="2:7" ht="33.75" customHeight="1">
      <c r="B53" s="1061" t="s">
        <v>49</v>
      </c>
      <c r="C53" s="1061"/>
      <c r="D53" s="1061"/>
      <c r="E53" s="1061"/>
      <c r="F53" s="1061"/>
      <c r="G53" s="1061"/>
    </row>
    <row r="54" spans="2:7" ht="42" customHeight="1">
      <c r="B54" s="1062" t="s">
        <v>369</v>
      </c>
      <c r="C54" s="1062"/>
      <c r="D54" s="1062"/>
      <c r="E54" s="1062"/>
      <c r="F54" s="1062"/>
      <c r="G54" s="1062"/>
    </row>
    <row r="55" spans="2:7" ht="15.75">
      <c r="B55" s="3" t="s">
        <v>1</v>
      </c>
      <c r="C55" s="3" t="s">
        <v>2</v>
      </c>
      <c r="D55" s="6" t="s">
        <v>115</v>
      </c>
      <c r="E55" s="9" t="s">
        <v>114</v>
      </c>
      <c r="F55" s="9" t="s">
        <v>155</v>
      </c>
      <c r="G55" s="9" t="s">
        <v>156</v>
      </c>
    </row>
    <row r="56" spans="2:7" ht="45">
      <c r="B56" s="1016" t="s">
        <v>167</v>
      </c>
      <c r="C56" s="15" t="s">
        <v>50</v>
      </c>
      <c r="D56" s="1016" t="s">
        <v>168</v>
      </c>
      <c r="E56" s="1036" t="s">
        <v>168</v>
      </c>
      <c r="F56" s="1036" t="s">
        <v>170</v>
      </c>
      <c r="G56" s="1036" t="s">
        <v>169</v>
      </c>
    </row>
    <row r="57" spans="2:7" ht="60">
      <c r="B57" s="1016"/>
      <c r="C57" s="15" t="s">
        <v>51</v>
      </c>
      <c r="D57" s="1016"/>
      <c r="E57" s="1038"/>
      <c r="F57" s="1038"/>
      <c r="G57" s="1038"/>
    </row>
    <row r="58" spans="2:7" ht="156" customHeight="1">
      <c r="B58" s="15" t="s">
        <v>171</v>
      </c>
      <c r="C58" s="15" t="s">
        <v>52</v>
      </c>
      <c r="D58" s="15" t="s">
        <v>172</v>
      </c>
      <c r="E58" s="16" t="s">
        <v>173</v>
      </c>
      <c r="F58" s="20" t="s">
        <v>174</v>
      </c>
      <c r="G58" s="20" t="s">
        <v>175</v>
      </c>
    </row>
    <row r="59" spans="2:7" ht="108.75" customHeight="1">
      <c r="B59" s="1015" t="s">
        <v>58</v>
      </c>
      <c r="C59" s="5" t="s">
        <v>53</v>
      </c>
      <c r="D59" s="1015" t="s">
        <v>132</v>
      </c>
      <c r="E59" s="1012" t="s">
        <v>133</v>
      </c>
      <c r="F59" s="1012">
        <v>208</v>
      </c>
      <c r="G59" s="1012">
        <v>550</v>
      </c>
    </row>
    <row r="60" spans="2:7" ht="94.5" customHeight="1">
      <c r="B60" s="1015"/>
      <c r="C60" s="5" t="s">
        <v>54</v>
      </c>
      <c r="D60" s="1015"/>
      <c r="E60" s="1012"/>
      <c r="F60" s="1012"/>
      <c r="G60" s="1012"/>
    </row>
    <row r="61" spans="2:7" ht="30">
      <c r="B61" s="1015"/>
      <c r="C61" s="5" t="s">
        <v>55</v>
      </c>
      <c r="D61" s="1015"/>
      <c r="E61" s="1012"/>
      <c r="F61" s="1012"/>
      <c r="G61" s="1012"/>
    </row>
    <row r="62" spans="2:7" ht="45">
      <c r="B62" s="1015"/>
      <c r="C62" s="5" t="s">
        <v>56</v>
      </c>
      <c r="D62" s="1015"/>
      <c r="E62" s="1012"/>
      <c r="F62" s="1012"/>
      <c r="G62" s="1012"/>
    </row>
    <row r="63" spans="2:7" ht="45">
      <c r="B63" s="1015"/>
      <c r="C63" s="5" t="s">
        <v>57</v>
      </c>
      <c r="D63" s="1015"/>
      <c r="E63" s="1012"/>
      <c r="F63" s="1012"/>
      <c r="G63" s="1012"/>
    </row>
    <row r="64" spans="2:7" ht="45">
      <c r="B64" s="1016" t="s">
        <v>176</v>
      </c>
      <c r="C64" s="15" t="s">
        <v>59</v>
      </c>
      <c r="D64" s="1016" t="s">
        <v>177</v>
      </c>
      <c r="E64" s="1014" t="s">
        <v>178</v>
      </c>
      <c r="F64" s="1014">
        <v>0</v>
      </c>
      <c r="G64" s="1014">
        <v>10</v>
      </c>
    </row>
    <row r="65" spans="2:7" ht="75">
      <c r="B65" s="1016"/>
      <c r="C65" s="15" t="s">
        <v>60</v>
      </c>
      <c r="D65" s="1016"/>
      <c r="E65" s="1014"/>
      <c r="F65" s="1014"/>
      <c r="G65" s="1014"/>
    </row>
    <row r="66" spans="2:7" ht="45">
      <c r="B66" s="1015" t="s">
        <v>64</v>
      </c>
      <c r="C66" s="5" t="s">
        <v>61</v>
      </c>
      <c r="D66" s="1015" t="s">
        <v>134</v>
      </c>
      <c r="E66" s="1012" t="s">
        <v>135</v>
      </c>
      <c r="F66" s="1012">
        <v>17</v>
      </c>
      <c r="G66" s="1012">
        <v>25</v>
      </c>
    </row>
    <row r="67" spans="2:7" ht="30">
      <c r="B67" s="1015"/>
      <c r="C67" s="5" t="s">
        <v>62</v>
      </c>
      <c r="D67" s="1015"/>
      <c r="E67" s="1012"/>
      <c r="F67" s="1012"/>
      <c r="G67" s="1012"/>
    </row>
    <row r="68" spans="2:7" ht="64.5" customHeight="1">
      <c r="B68" s="1015"/>
      <c r="C68" s="5" t="s">
        <v>63</v>
      </c>
      <c r="D68" s="1015"/>
      <c r="E68" s="1012"/>
      <c r="F68" s="1012"/>
      <c r="G68" s="1012"/>
    </row>
    <row r="69" spans="2:7" ht="105">
      <c r="B69" s="1064" t="s">
        <v>68</v>
      </c>
      <c r="C69" s="11" t="s">
        <v>65</v>
      </c>
      <c r="D69" s="1064" t="s">
        <v>136</v>
      </c>
      <c r="E69" s="1065" t="s">
        <v>137</v>
      </c>
      <c r="F69" s="1065">
        <v>0</v>
      </c>
      <c r="G69" s="1065">
        <v>5</v>
      </c>
    </row>
    <row r="70" spans="2:7" ht="45">
      <c r="B70" s="1064"/>
      <c r="C70" s="11" t="s">
        <v>66</v>
      </c>
      <c r="D70" s="1064"/>
      <c r="E70" s="1065"/>
      <c r="F70" s="1065"/>
      <c r="G70" s="1065"/>
    </row>
    <row r="71" spans="2:7" ht="45">
      <c r="B71" s="1064"/>
      <c r="C71" s="11" t="s">
        <v>67</v>
      </c>
      <c r="D71" s="1064"/>
      <c r="E71" s="1065"/>
      <c r="F71" s="1065"/>
      <c r="G71" s="1065"/>
    </row>
    <row r="72" spans="2:7" ht="37.5" customHeight="1">
      <c r="B72" s="5" t="s">
        <v>298</v>
      </c>
      <c r="C72" s="5" t="s">
        <v>69</v>
      </c>
      <c r="D72" s="5" t="s">
        <v>138</v>
      </c>
      <c r="E72" s="10" t="s">
        <v>226</v>
      </c>
      <c r="F72" s="22">
        <v>0.18</v>
      </c>
      <c r="G72" s="22">
        <v>0.5</v>
      </c>
    </row>
    <row r="73" spans="2:7">
      <c r="B73" s="2"/>
      <c r="C73" s="2"/>
      <c r="D73" s="2"/>
      <c r="E73" s="7"/>
      <c r="F73" s="7"/>
      <c r="G73" s="7"/>
    </row>
    <row r="74" spans="2:7" ht="18">
      <c r="B74" s="1022" t="s">
        <v>70</v>
      </c>
      <c r="C74" s="1022"/>
      <c r="D74" s="1022"/>
      <c r="E74" s="1022"/>
      <c r="F74" s="1022"/>
      <c r="G74" s="1022"/>
    </row>
    <row r="75" spans="2:7" ht="25.5" customHeight="1">
      <c r="B75" s="1061" t="s">
        <v>71</v>
      </c>
      <c r="C75" s="1061"/>
      <c r="D75" s="1061"/>
      <c r="E75" s="1061"/>
      <c r="F75" s="1061"/>
      <c r="G75" s="1061"/>
    </row>
    <row r="76" spans="2:7" ht="25.5" customHeight="1">
      <c r="B76" s="1062" t="s">
        <v>112</v>
      </c>
      <c r="C76" s="1062"/>
      <c r="D76" s="1062"/>
      <c r="E76" s="1062"/>
      <c r="F76" s="1062"/>
      <c r="G76" s="1062"/>
    </row>
    <row r="77" spans="2:7" ht="15.75">
      <c r="B77" s="3" t="s">
        <v>1</v>
      </c>
      <c r="C77" s="3" t="s">
        <v>2</v>
      </c>
      <c r="D77" s="6" t="s">
        <v>115</v>
      </c>
      <c r="E77" s="9" t="s">
        <v>114</v>
      </c>
      <c r="F77" s="9" t="s">
        <v>155</v>
      </c>
      <c r="G77" s="9" t="s">
        <v>156</v>
      </c>
    </row>
    <row r="78" spans="2:7" ht="59.25" customHeight="1">
      <c r="B78" s="1016" t="s">
        <v>76</v>
      </c>
      <c r="C78" s="15" t="s">
        <v>72</v>
      </c>
      <c r="D78" s="17" t="s">
        <v>187</v>
      </c>
      <c r="E78" s="18" t="s">
        <v>187</v>
      </c>
      <c r="F78" s="42">
        <v>104609</v>
      </c>
      <c r="G78" s="27">
        <v>183609</v>
      </c>
    </row>
    <row r="79" spans="2:7" ht="75">
      <c r="B79" s="1016"/>
      <c r="C79" s="15" t="s">
        <v>73</v>
      </c>
      <c r="D79" s="17" t="s">
        <v>186</v>
      </c>
      <c r="E79" s="18" t="s">
        <v>188</v>
      </c>
      <c r="F79" s="27">
        <v>12608</v>
      </c>
      <c r="G79" s="27">
        <v>37481</v>
      </c>
    </row>
    <row r="80" spans="2:7" ht="75">
      <c r="B80" s="1016"/>
      <c r="C80" s="15" t="s">
        <v>74</v>
      </c>
      <c r="D80" s="17" t="s">
        <v>189</v>
      </c>
      <c r="E80" s="30" t="s">
        <v>190</v>
      </c>
      <c r="F80" s="27">
        <v>104733</v>
      </c>
      <c r="G80" s="33">
        <v>130541.6</v>
      </c>
    </row>
    <row r="81" spans="2:7" ht="166.5" customHeight="1">
      <c r="B81" s="1016"/>
      <c r="C81" s="15" t="s">
        <v>179</v>
      </c>
      <c r="D81" s="17" t="s">
        <v>191</v>
      </c>
      <c r="E81" s="18" t="s">
        <v>192</v>
      </c>
      <c r="F81" s="26">
        <v>0.99</v>
      </c>
      <c r="G81" s="26">
        <v>0.99</v>
      </c>
    </row>
    <row r="82" spans="2:7" ht="172.5" customHeight="1">
      <c r="B82" s="1016"/>
      <c r="C82" s="15" t="s">
        <v>180</v>
      </c>
      <c r="D82" s="17" t="s">
        <v>193</v>
      </c>
      <c r="E82" s="18" t="s">
        <v>192</v>
      </c>
      <c r="F82" s="26">
        <v>0.99</v>
      </c>
      <c r="G82" s="26">
        <v>0.99</v>
      </c>
    </row>
    <row r="83" spans="2:7" ht="61.5" customHeight="1">
      <c r="B83" s="1016"/>
      <c r="C83" s="15" t="s">
        <v>75</v>
      </c>
      <c r="D83" s="17" t="s">
        <v>194</v>
      </c>
      <c r="E83" s="18" t="s">
        <v>195</v>
      </c>
      <c r="F83" s="26">
        <v>0.41</v>
      </c>
      <c r="G83" s="26">
        <v>0.36</v>
      </c>
    </row>
    <row r="84" spans="2:7" ht="60">
      <c r="B84" s="11" t="s">
        <v>80</v>
      </c>
      <c r="C84" s="11" t="s">
        <v>77</v>
      </c>
      <c r="D84" s="13" t="s">
        <v>139</v>
      </c>
      <c r="E84" s="14" t="s">
        <v>140</v>
      </c>
      <c r="F84" s="10">
        <v>0</v>
      </c>
      <c r="G84" s="10">
        <v>4</v>
      </c>
    </row>
    <row r="85" spans="2:7" ht="60">
      <c r="B85" s="1015" t="s">
        <v>81</v>
      </c>
      <c r="C85" s="11" t="s">
        <v>78</v>
      </c>
      <c r="D85" s="1015" t="s">
        <v>141</v>
      </c>
      <c r="E85" s="1012" t="s">
        <v>141</v>
      </c>
      <c r="F85" s="1012" t="s">
        <v>196</v>
      </c>
      <c r="G85" s="1012" t="s">
        <v>197</v>
      </c>
    </row>
    <row r="86" spans="2:7" ht="90">
      <c r="B86" s="1015"/>
      <c r="C86" s="11" t="s">
        <v>79</v>
      </c>
      <c r="D86" s="1015"/>
      <c r="E86" s="1012"/>
      <c r="F86" s="1012"/>
      <c r="G86" s="1012"/>
    </row>
    <row r="87" spans="2:7" ht="90">
      <c r="B87" s="1015"/>
      <c r="C87" s="11" t="s">
        <v>44</v>
      </c>
      <c r="D87" s="1015"/>
      <c r="E87" s="1012"/>
      <c r="F87" s="1012"/>
      <c r="G87" s="1012"/>
    </row>
    <row r="88" spans="2:7" ht="79.5" customHeight="1">
      <c r="B88" s="11" t="s">
        <v>305</v>
      </c>
      <c r="C88" s="11" t="s">
        <v>82</v>
      </c>
      <c r="D88" s="11" t="s">
        <v>142</v>
      </c>
      <c r="E88" s="10" t="s">
        <v>228</v>
      </c>
      <c r="F88" s="31">
        <v>0.26</v>
      </c>
      <c r="G88" s="31">
        <v>1</v>
      </c>
    </row>
    <row r="89" spans="2:7" ht="59.25" customHeight="1">
      <c r="B89" s="11" t="s">
        <v>86</v>
      </c>
      <c r="C89" s="11" t="s">
        <v>83</v>
      </c>
      <c r="D89" s="11" t="s">
        <v>143</v>
      </c>
      <c r="E89" s="10" t="s">
        <v>144</v>
      </c>
      <c r="F89" s="10">
        <v>633</v>
      </c>
      <c r="G89" s="10">
        <v>980</v>
      </c>
    </row>
    <row r="90" spans="2:7" ht="45">
      <c r="B90" s="1016" t="s">
        <v>87</v>
      </c>
      <c r="C90" s="29" t="s">
        <v>84</v>
      </c>
      <c r="D90" s="1016" t="s">
        <v>145</v>
      </c>
      <c r="E90" s="1014" t="s">
        <v>146</v>
      </c>
      <c r="F90" s="1063" t="s">
        <v>165</v>
      </c>
      <c r="G90" s="1063" t="s">
        <v>165</v>
      </c>
    </row>
    <row r="91" spans="2:7" ht="45">
      <c r="B91" s="1016"/>
      <c r="C91" s="29" t="s">
        <v>85</v>
      </c>
      <c r="D91" s="1016"/>
      <c r="E91" s="1014"/>
      <c r="F91" s="1063"/>
      <c r="G91" s="1063"/>
    </row>
    <row r="92" spans="2:7">
      <c r="B92" s="2"/>
      <c r="C92" s="2"/>
      <c r="D92" s="2"/>
      <c r="E92" s="7"/>
      <c r="F92" s="7"/>
      <c r="G92" s="7"/>
    </row>
    <row r="93" spans="2:7" ht="18">
      <c r="B93" s="1022" t="s">
        <v>88</v>
      </c>
      <c r="C93" s="1022"/>
      <c r="D93" s="1022"/>
      <c r="E93" s="1022"/>
      <c r="F93" s="1022"/>
      <c r="G93" s="1022"/>
    </row>
    <row r="94" spans="2:7" ht="18.75" customHeight="1">
      <c r="B94" s="1061" t="s">
        <v>89</v>
      </c>
      <c r="C94" s="1061"/>
      <c r="D94" s="1061"/>
      <c r="E94" s="1061"/>
      <c r="F94" s="1061"/>
      <c r="G94" s="1061"/>
    </row>
    <row r="95" spans="2:7" ht="69.75" customHeight="1">
      <c r="B95" s="1062" t="s">
        <v>113</v>
      </c>
      <c r="C95" s="1062"/>
      <c r="D95" s="1062"/>
      <c r="E95" s="1062"/>
      <c r="F95" s="1062"/>
      <c r="G95" s="1062"/>
    </row>
    <row r="96" spans="2:7" ht="15.75">
      <c r="B96" s="3" t="s">
        <v>1</v>
      </c>
      <c r="C96" s="3" t="s">
        <v>2</v>
      </c>
      <c r="D96" s="6" t="s">
        <v>115</v>
      </c>
      <c r="E96" s="9" t="s">
        <v>114</v>
      </c>
      <c r="F96" s="9" t="s">
        <v>155</v>
      </c>
      <c r="G96" s="9" t="s">
        <v>156</v>
      </c>
    </row>
    <row r="97" spans="2:7" ht="105">
      <c r="B97" s="15" t="s">
        <v>200</v>
      </c>
      <c r="C97" s="15" t="s">
        <v>90</v>
      </c>
      <c r="D97" s="15" t="s">
        <v>198</v>
      </c>
      <c r="E97" s="16" t="s">
        <v>199</v>
      </c>
      <c r="F97" s="16">
        <v>0</v>
      </c>
      <c r="G97" s="16">
        <v>5</v>
      </c>
    </row>
    <row r="98" spans="2:7" ht="138" customHeight="1">
      <c r="B98" s="15" t="s">
        <v>201</v>
      </c>
      <c r="C98" s="19" t="s">
        <v>91</v>
      </c>
      <c r="D98" s="15" t="s">
        <v>209</v>
      </c>
      <c r="E98" s="32" t="s">
        <v>209</v>
      </c>
      <c r="F98" s="16">
        <v>0.06</v>
      </c>
      <c r="G98" s="16">
        <v>100</v>
      </c>
    </row>
    <row r="99" spans="2:7" ht="83.25" customHeight="1">
      <c r="B99" s="11" t="s">
        <v>92</v>
      </c>
      <c r="C99" s="11" t="s">
        <v>91</v>
      </c>
      <c r="D99" s="11" t="s">
        <v>147</v>
      </c>
      <c r="E99" s="10" t="s">
        <v>148</v>
      </c>
      <c r="F99" s="34" t="s">
        <v>231</v>
      </c>
      <c r="G99" s="31">
        <v>1</v>
      </c>
    </row>
    <row r="100" spans="2:7" ht="60">
      <c r="B100" s="1015" t="s">
        <v>307</v>
      </c>
      <c r="C100" s="11" t="s">
        <v>93</v>
      </c>
      <c r="D100" s="1015" t="s">
        <v>149</v>
      </c>
      <c r="E100" s="1012" t="s">
        <v>229</v>
      </c>
      <c r="F100" s="1066" t="s">
        <v>165</v>
      </c>
      <c r="G100" s="1031">
        <v>1</v>
      </c>
    </row>
    <row r="101" spans="2:7" ht="60">
      <c r="B101" s="1015"/>
      <c r="C101" s="11" t="s">
        <v>94</v>
      </c>
      <c r="D101" s="1015"/>
      <c r="E101" s="1012"/>
      <c r="F101" s="1066"/>
      <c r="G101" s="1012"/>
    </row>
    <row r="102" spans="2:7" ht="75">
      <c r="B102" s="1015"/>
      <c r="C102" s="11" t="s">
        <v>95</v>
      </c>
      <c r="D102" s="1015"/>
      <c r="E102" s="1012"/>
      <c r="F102" s="1066"/>
      <c r="G102" s="1012"/>
    </row>
    <row r="103" spans="2:7" ht="60">
      <c r="B103" s="1015" t="s">
        <v>100</v>
      </c>
      <c r="C103" s="11" t="s">
        <v>96</v>
      </c>
      <c r="D103" s="1015" t="s">
        <v>150</v>
      </c>
      <c r="E103" s="1012" t="s">
        <v>230</v>
      </c>
      <c r="F103" s="1066" t="s">
        <v>165</v>
      </c>
      <c r="G103" s="1031">
        <v>0.8</v>
      </c>
    </row>
    <row r="104" spans="2:7" ht="30">
      <c r="B104" s="1015"/>
      <c r="C104" s="11" t="s">
        <v>97</v>
      </c>
      <c r="D104" s="1015"/>
      <c r="E104" s="1012"/>
      <c r="F104" s="1066"/>
      <c r="G104" s="1012"/>
    </row>
    <row r="105" spans="2:7" ht="90">
      <c r="B105" s="1015"/>
      <c r="C105" s="11" t="s">
        <v>98</v>
      </c>
      <c r="D105" s="1015"/>
      <c r="E105" s="1012"/>
      <c r="F105" s="1066"/>
      <c r="G105" s="1012"/>
    </row>
    <row r="106" spans="2:7" ht="60">
      <c r="B106" s="1015"/>
      <c r="C106" s="11" t="s">
        <v>99</v>
      </c>
      <c r="D106" s="1015"/>
      <c r="E106" s="1012"/>
      <c r="F106" s="1066"/>
      <c r="G106" s="1012"/>
    </row>
    <row r="107" spans="2:7" ht="75">
      <c r="B107" s="11" t="s">
        <v>105</v>
      </c>
      <c r="C107" s="12" t="s">
        <v>101</v>
      </c>
      <c r="D107" s="11" t="s">
        <v>151</v>
      </c>
      <c r="E107" s="10" t="s">
        <v>232</v>
      </c>
      <c r="F107" s="28" t="s">
        <v>165</v>
      </c>
      <c r="G107" s="31">
        <v>1</v>
      </c>
    </row>
    <row r="108" spans="2:7" ht="90">
      <c r="B108" s="11" t="s">
        <v>106</v>
      </c>
      <c r="C108" s="12" t="s">
        <v>101</v>
      </c>
      <c r="D108" s="11" t="s">
        <v>237</v>
      </c>
      <c r="E108" s="10" t="s">
        <v>233</v>
      </c>
      <c r="F108" s="31">
        <v>1</v>
      </c>
      <c r="G108" s="31">
        <v>1</v>
      </c>
    </row>
    <row r="109" spans="2:7" ht="90">
      <c r="B109" s="11" t="s">
        <v>107</v>
      </c>
      <c r="C109" s="11" t="s">
        <v>102</v>
      </c>
      <c r="D109" s="11" t="s">
        <v>152</v>
      </c>
      <c r="E109" s="10" t="s">
        <v>234</v>
      </c>
      <c r="F109" s="31">
        <v>0</v>
      </c>
      <c r="G109" s="31">
        <v>1</v>
      </c>
    </row>
    <row r="110" spans="2:7" ht="105">
      <c r="B110" s="5" t="s">
        <v>108</v>
      </c>
      <c r="C110" s="5" t="s">
        <v>103</v>
      </c>
      <c r="D110" s="5" t="s">
        <v>153</v>
      </c>
      <c r="E110" s="10" t="s">
        <v>235</v>
      </c>
      <c r="F110" s="31">
        <v>1</v>
      </c>
      <c r="G110" s="31">
        <v>1</v>
      </c>
    </row>
    <row r="111" spans="2:7" ht="60">
      <c r="B111" s="1017" t="s">
        <v>109</v>
      </c>
      <c r="C111" s="1017" t="s">
        <v>104</v>
      </c>
      <c r="D111" s="15" t="s">
        <v>202</v>
      </c>
      <c r="E111" s="16" t="s">
        <v>204</v>
      </c>
      <c r="F111" s="35">
        <v>0.5</v>
      </c>
      <c r="G111" s="26">
        <v>1</v>
      </c>
    </row>
    <row r="112" spans="2:7" ht="105" customHeight="1">
      <c r="B112" s="1018"/>
      <c r="C112" s="1018"/>
      <c r="D112" s="15" t="s">
        <v>205</v>
      </c>
      <c r="E112" s="16" t="s">
        <v>206</v>
      </c>
      <c r="F112" s="16">
        <v>6</v>
      </c>
      <c r="G112" s="16">
        <v>15</v>
      </c>
    </row>
    <row r="113" spans="2:7" ht="70.5" customHeight="1">
      <c r="B113" s="1019"/>
      <c r="C113" s="1019"/>
      <c r="D113" s="20" t="s">
        <v>203</v>
      </c>
      <c r="E113" s="16" t="s">
        <v>207</v>
      </c>
      <c r="F113" s="16">
        <v>1</v>
      </c>
      <c r="G113" s="16">
        <v>1</v>
      </c>
    </row>
  </sheetData>
  <mergeCells count="110">
    <mergeCell ref="B111:B113"/>
    <mergeCell ref="C111:C113"/>
    <mergeCell ref="F103:F106"/>
    <mergeCell ref="E103:E106"/>
    <mergeCell ref="C26:C27"/>
    <mergeCell ref="B93:G93"/>
    <mergeCell ref="B94:G94"/>
    <mergeCell ref="B95:G95"/>
    <mergeCell ref="B100:B102"/>
    <mergeCell ref="D100:D102"/>
    <mergeCell ref="G100:G102"/>
    <mergeCell ref="F100:F102"/>
    <mergeCell ref="E100:E102"/>
    <mergeCell ref="B103:B106"/>
    <mergeCell ref="D103:D106"/>
    <mergeCell ref="G103:G106"/>
    <mergeCell ref="B76:G76"/>
    <mergeCell ref="B78:B83"/>
    <mergeCell ref="B85:B87"/>
    <mergeCell ref="D85:D87"/>
    <mergeCell ref="G85:G87"/>
    <mergeCell ref="B90:B91"/>
    <mergeCell ref="D90:D91"/>
    <mergeCell ref="G90:G91"/>
    <mergeCell ref="F85:F87"/>
    <mergeCell ref="F90:F91"/>
    <mergeCell ref="E85:E87"/>
    <mergeCell ref="E90:E91"/>
    <mergeCell ref="B69:B71"/>
    <mergeCell ref="D69:D71"/>
    <mergeCell ref="G69:G71"/>
    <mergeCell ref="F66:F68"/>
    <mergeCell ref="F69:F71"/>
    <mergeCell ref="E66:E68"/>
    <mergeCell ref="E69:E71"/>
    <mergeCell ref="B74:G74"/>
    <mergeCell ref="B75:G75"/>
    <mergeCell ref="B64:B65"/>
    <mergeCell ref="D64:D65"/>
    <mergeCell ref="G64:G65"/>
    <mergeCell ref="F59:F63"/>
    <mergeCell ref="F64:F65"/>
    <mergeCell ref="E59:E63"/>
    <mergeCell ref="E64:E65"/>
    <mergeCell ref="B66:B68"/>
    <mergeCell ref="D66:D68"/>
    <mergeCell ref="G66:G68"/>
    <mergeCell ref="B54:G54"/>
    <mergeCell ref="B56:B57"/>
    <mergeCell ref="D56:D57"/>
    <mergeCell ref="G56:G57"/>
    <mergeCell ref="F56:F57"/>
    <mergeCell ref="E56:E57"/>
    <mergeCell ref="B59:B63"/>
    <mergeCell ref="D59:D63"/>
    <mergeCell ref="G59:G63"/>
    <mergeCell ref="B48:B50"/>
    <mergeCell ref="D48:D50"/>
    <mergeCell ref="G48:G50"/>
    <mergeCell ref="F43:F45"/>
    <mergeCell ref="F48:F50"/>
    <mergeCell ref="E43:E45"/>
    <mergeCell ref="E48:E50"/>
    <mergeCell ref="B52:G52"/>
    <mergeCell ref="B53:G53"/>
    <mergeCell ref="B36:G36"/>
    <mergeCell ref="B37:G37"/>
    <mergeCell ref="B38:G38"/>
    <mergeCell ref="B40:B42"/>
    <mergeCell ref="D40:D42"/>
    <mergeCell ref="G40:G42"/>
    <mergeCell ref="F40:F42"/>
    <mergeCell ref="E40:E42"/>
    <mergeCell ref="B43:B45"/>
    <mergeCell ref="D43:D45"/>
    <mergeCell ref="G43:G45"/>
    <mergeCell ref="B20:B21"/>
    <mergeCell ref="B14:B16"/>
    <mergeCell ref="B17:B19"/>
    <mergeCell ref="B6:B9"/>
    <mergeCell ref="B2:G2"/>
    <mergeCell ref="B3:G3"/>
    <mergeCell ref="B4:G4"/>
    <mergeCell ref="D6:D9"/>
    <mergeCell ref="F6:F9"/>
    <mergeCell ref="E6:E9"/>
    <mergeCell ref="D14:D16"/>
    <mergeCell ref="D17:D19"/>
    <mergeCell ref="D20:D21"/>
    <mergeCell ref="G6:G9"/>
    <mergeCell ref="G14:G16"/>
    <mergeCell ref="G17:G19"/>
    <mergeCell ref="G20:G21"/>
    <mergeCell ref="F14:F16"/>
    <mergeCell ref="F17:F19"/>
    <mergeCell ref="F20:F21"/>
    <mergeCell ref="E14:E16"/>
    <mergeCell ref="E17:E19"/>
    <mergeCell ref="E20:E21"/>
    <mergeCell ref="G28:G29"/>
    <mergeCell ref="G30:G33"/>
    <mergeCell ref="D28:D29"/>
    <mergeCell ref="D30:D33"/>
    <mergeCell ref="B24:B27"/>
    <mergeCell ref="F28:F29"/>
    <mergeCell ref="F30:F33"/>
    <mergeCell ref="E28:E29"/>
    <mergeCell ref="E30:E33"/>
    <mergeCell ref="B28:B29"/>
    <mergeCell ref="B30:B33"/>
  </mergeCells>
  <printOptions horizontalCentered="1" verticalCentered="1"/>
  <pageMargins left="0.70866141732283472" right="0.70866141732283472" top="0.74803149606299213" bottom="0.74803149606299213" header="0.31496062992125984" footer="0.31496062992125984"/>
  <pageSetup paperSize="9" scale="31" orientation="landscape" r:id="rId1"/>
  <rowBreaks count="4" manualBreakCount="4">
    <brk id="21" max="17" man="1"/>
    <brk id="51" max="17" man="1"/>
    <brk id="72" max="17" man="1"/>
    <brk id="93"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76"/>
  <sheetViews>
    <sheetView showGridLines="0" zoomScaleNormal="100" workbookViewId="0">
      <selection activeCell="E9" sqref="E9"/>
    </sheetView>
  </sheetViews>
  <sheetFormatPr baseColWidth="10" defaultRowHeight="15"/>
  <cols>
    <col min="1" max="1" width="2" customWidth="1"/>
    <col min="2" max="2" width="21.42578125" customWidth="1"/>
    <col min="3" max="3" width="50" customWidth="1"/>
    <col min="4" max="4" width="6.42578125" style="8" customWidth="1"/>
    <col min="5" max="5" width="41.140625" customWidth="1"/>
    <col min="6" max="6" width="32.42578125" style="75" customWidth="1"/>
    <col min="7" max="7" width="44.85546875" customWidth="1"/>
    <col min="8" max="8" width="36" style="8" customWidth="1"/>
    <col min="9" max="9" width="26.28515625" customWidth="1"/>
    <col min="10" max="10" width="25.85546875" customWidth="1"/>
  </cols>
  <sheetData>
    <row r="1" spans="2:10" ht="15.75" thickBot="1"/>
    <row r="2" spans="2:10" ht="15.75">
      <c r="B2" s="852" t="s">
        <v>317</v>
      </c>
      <c r="C2" s="853"/>
      <c r="D2" s="1092" t="s">
        <v>316</v>
      </c>
      <c r="E2" s="1093"/>
      <c r="F2" s="1093"/>
      <c r="G2" s="1082" t="s">
        <v>501</v>
      </c>
      <c r="H2" s="1089" t="s">
        <v>346</v>
      </c>
      <c r="I2" s="1074" t="s">
        <v>323</v>
      </c>
    </row>
    <row r="3" spans="2:10" ht="19.5" customHeight="1" thickBot="1">
      <c r="B3" s="54" t="s">
        <v>318</v>
      </c>
      <c r="C3" s="55" t="s">
        <v>339</v>
      </c>
      <c r="D3" s="55" t="s">
        <v>296</v>
      </c>
      <c r="E3" s="56" t="s">
        <v>291</v>
      </c>
      <c r="F3" s="56" t="s">
        <v>290</v>
      </c>
      <c r="G3" s="1083"/>
      <c r="H3" s="1090"/>
      <c r="I3" s="1075"/>
    </row>
    <row r="4" spans="2:10" ht="45">
      <c r="B4" s="854" t="s">
        <v>247</v>
      </c>
      <c r="C4" s="1094" t="s">
        <v>279</v>
      </c>
      <c r="D4" s="58" t="s">
        <v>297</v>
      </c>
      <c r="E4" s="57" t="s">
        <v>3</v>
      </c>
      <c r="F4" s="76"/>
      <c r="G4" s="1084" t="s">
        <v>494</v>
      </c>
      <c r="H4" s="1091" t="s">
        <v>340</v>
      </c>
      <c r="I4" s="1076" t="s">
        <v>325</v>
      </c>
    </row>
    <row r="5" spans="2:10" ht="99" customHeight="1">
      <c r="B5" s="855"/>
      <c r="C5" s="1095"/>
      <c r="D5" s="65" t="s">
        <v>308</v>
      </c>
      <c r="E5" s="67" t="s">
        <v>37</v>
      </c>
      <c r="F5" s="77"/>
      <c r="G5" s="1085"/>
      <c r="H5" s="1077"/>
      <c r="I5" s="1077"/>
    </row>
    <row r="6" spans="2:10" ht="45">
      <c r="B6" s="856"/>
      <c r="C6" s="1086" t="s">
        <v>294</v>
      </c>
      <c r="D6" s="53" t="s">
        <v>297</v>
      </c>
      <c r="E6" s="46" t="s">
        <v>3</v>
      </c>
      <c r="F6" s="78"/>
      <c r="G6" s="1088" t="s">
        <v>497</v>
      </c>
      <c r="H6" s="1078" t="s">
        <v>327</v>
      </c>
      <c r="I6" s="1078" t="s">
        <v>326</v>
      </c>
    </row>
    <row r="7" spans="2:10" ht="104.25" customHeight="1">
      <c r="B7" s="856"/>
      <c r="C7" s="1087"/>
      <c r="D7" s="53" t="s">
        <v>308</v>
      </c>
      <c r="E7" s="46" t="s">
        <v>37</v>
      </c>
      <c r="F7" s="78"/>
      <c r="G7" s="1088"/>
      <c r="H7" s="1078"/>
      <c r="I7" s="1079"/>
    </row>
    <row r="8" spans="2:10" ht="64.5" customHeight="1">
      <c r="B8" s="856"/>
      <c r="C8" s="860" t="s">
        <v>240</v>
      </c>
      <c r="D8" s="52" t="s">
        <v>297</v>
      </c>
      <c r="E8" s="43" t="s">
        <v>3</v>
      </c>
      <c r="F8" s="79"/>
      <c r="G8" s="1098" t="s">
        <v>495</v>
      </c>
      <c r="H8" s="1080" t="s">
        <v>322</v>
      </c>
      <c r="I8" s="1080" t="s">
        <v>326</v>
      </c>
    </row>
    <row r="9" spans="2:10" ht="114.75" customHeight="1">
      <c r="B9" s="856"/>
      <c r="C9" s="849"/>
      <c r="D9" s="72" t="s">
        <v>308</v>
      </c>
      <c r="E9" s="73" t="s">
        <v>37</v>
      </c>
      <c r="F9" s="79"/>
      <c r="G9" s="1098"/>
      <c r="H9" s="1080"/>
      <c r="I9" s="1081"/>
    </row>
    <row r="10" spans="2:10" ht="51">
      <c r="B10" s="856"/>
      <c r="C10" s="1086" t="s">
        <v>241</v>
      </c>
      <c r="D10" s="53" t="s">
        <v>297</v>
      </c>
      <c r="E10" s="46" t="s">
        <v>3</v>
      </c>
      <c r="F10" s="78" t="s">
        <v>14</v>
      </c>
      <c r="G10" s="1085" t="s">
        <v>520</v>
      </c>
      <c r="H10" s="867" t="s">
        <v>328</v>
      </c>
      <c r="I10" s="867" t="s">
        <v>326</v>
      </c>
    </row>
    <row r="11" spans="2:10" ht="84.75" customHeight="1">
      <c r="B11" s="856"/>
      <c r="C11" s="1087"/>
      <c r="D11" s="53" t="s">
        <v>308</v>
      </c>
      <c r="E11" s="46" t="s">
        <v>37</v>
      </c>
      <c r="F11" s="78"/>
      <c r="G11" s="1085"/>
      <c r="H11" s="868"/>
      <c r="I11" s="1067"/>
    </row>
    <row r="12" spans="2:10" ht="102.75" customHeight="1">
      <c r="B12" s="856"/>
      <c r="C12" s="68" t="s">
        <v>242</v>
      </c>
      <c r="D12" s="48" t="s">
        <v>308</v>
      </c>
      <c r="E12" s="66" t="s">
        <v>37</v>
      </c>
      <c r="F12" s="80" t="s">
        <v>329</v>
      </c>
      <c r="G12" s="191" t="s">
        <v>532</v>
      </c>
      <c r="H12" s="189" t="s">
        <v>533</v>
      </c>
      <c r="I12" s="48" t="s">
        <v>324</v>
      </c>
      <c r="J12" s="179" t="s">
        <v>534</v>
      </c>
    </row>
    <row r="13" spans="2:10" ht="150.75" customHeight="1">
      <c r="B13" s="856"/>
      <c r="C13" s="46" t="s">
        <v>243</v>
      </c>
      <c r="D13" s="53" t="s">
        <v>299</v>
      </c>
      <c r="E13" s="46" t="s">
        <v>86</v>
      </c>
      <c r="F13" s="78" t="s">
        <v>330</v>
      </c>
      <c r="G13" s="141" t="s">
        <v>499</v>
      </c>
      <c r="H13" s="94" t="s">
        <v>331</v>
      </c>
      <c r="I13" s="52" t="s">
        <v>436</v>
      </c>
    </row>
    <row r="14" spans="2:10" ht="120">
      <c r="B14" s="856"/>
      <c r="C14" s="43" t="s">
        <v>244</v>
      </c>
      <c r="D14" s="52" t="s">
        <v>299</v>
      </c>
      <c r="E14" s="43" t="s">
        <v>86</v>
      </c>
      <c r="F14" s="79" t="s">
        <v>83</v>
      </c>
      <c r="G14" s="192" t="s">
        <v>535</v>
      </c>
      <c r="H14" s="95"/>
      <c r="I14" s="52" t="s">
        <v>334</v>
      </c>
      <c r="J14" s="179" t="s">
        <v>536</v>
      </c>
    </row>
    <row r="15" spans="2:10" ht="60">
      <c r="B15" s="856"/>
      <c r="C15" s="46" t="s">
        <v>300</v>
      </c>
      <c r="D15" s="53" t="s">
        <v>297</v>
      </c>
      <c r="E15" s="46" t="s">
        <v>6</v>
      </c>
      <c r="F15" s="78" t="s">
        <v>19</v>
      </c>
      <c r="G15" s="135" t="s">
        <v>498</v>
      </c>
      <c r="H15" s="94" t="s">
        <v>332</v>
      </c>
      <c r="I15" s="52" t="s">
        <v>335</v>
      </c>
    </row>
    <row r="16" spans="2:10" ht="60">
      <c r="B16" s="856"/>
      <c r="C16" s="43" t="s">
        <v>281</v>
      </c>
      <c r="D16" s="52" t="s">
        <v>297</v>
      </c>
      <c r="E16" s="44" t="s">
        <v>6</v>
      </c>
      <c r="F16" s="81" t="s">
        <v>19</v>
      </c>
      <c r="G16" s="194" t="s">
        <v>538</v>
      </c>
      <c r="H16" s="95" t="s">
        <v>333</v>
      </c>
      <c r="I16" s="74" t="s">
        <v>336</v>
      </c>
      <c r="J16" s="148" t="s">
        <v>539</v>
      </c>
    </row>
    <row r="17" spans="2:9" ht="90">
      <c r="B17" s="856"/>
      <c r="C17" s="46" t="s">
        <v>245</v>
      </c>
      <c r="D17" s="53" t="s">
        <v>301</v>
      </c>
      <c r="E17" s="46" t="s">
        <v>298</v>
      </c>
      <c r="F17" s="78" t="s">
        <v>69</v>
      </c>
      <c r="G17" s="192" t="s">
        <v>540</v>
      </c>
      <c r="H17" s="94" t="s">
        <v>337</v>
      </c>
      <c r="I17" s="48" t="s">
        <v>324</v>
      </c>
    </row>
    <row r="18" spans="2:9" ht="151.5" customHeight="1">
      <c r="B18" s="856"/>
      <c r="C18" s="43" t="s">
        <v>246</v>
      </c>
      <c r="D18" s="52" t="s">
        <v>308</v>
      </c>
      <c r="E18" s="43" t="s">
        <v>37</v>
      </c>
      <c r="F18" s="79" t="s">
        <v>338</v>
      </c>
      <c r="G18" s="194" t="s">
        <v>541</v>
      </c>
      <c r="H18" s="95"/>
      <c r="I18" s="190" t="s">
        <v>324</v>
      </c>
    </row>
    <row r="19" spans="2:9" ht="96.75" customHeight="1" thickBot="1">
      <c r="B19" s="861"/>
      <c r="C19" s="127" t="s">
        <v>302</v>
      </c>
      <c r="D19" s="130"/>
      <c r="E19" s="127"/>
      <c r="F19" s="167"/>
      <c r="G19" s="195" t="s">
        <v>542</v>
      </c>
      <c r="H19" s="128"/>
      <c r="I19" s="100"/>
    </row>
    <row r="20" spans="2:9" ht="105">
      <c r="B20" s="854" t="s">
        <v>251</v>
      </c>
      <c r="C20" s="57" t="s">
        <v>248</v>
      </c>
      <c r="D20" s="58" t="s">
        <v>297</v>
      </c>
      <c r="E20" s="57" t="s">
        <v>12</v>
      </c>
      <c r="F20" s="76" t="s">
        <v>31</v>
      </c>
      <c r="G20" s="168" t="s">
        <v>344</v>
      </c>
      <c r="H20" s="58" t="s">
        <v>342</v>
      </c>
      <c r="I20" s="169" t="s">
        <v>343</v>
      </c>
    </row>
    <row r="21" spans="2:9" ht="90">
      <c r="B21" s="855"/>
      <c r="C21" s="1053" t="s">
        <v>280</v>
      </c>
      <c r="D21" s="140" t="s">
        <v>297</v>
      </c>
      <c r="E21" s="142" t="s">
        <v>12</v>
      </c>
      <c r="F21" s="87" t="s">
        <v>31</v>
      </c>
      <c r="G21" s="869" t="s">
        <v>437</v>
      </c>
      <c r="H21" s="867" t="s">
        <v>347</v>
      </c>
      <c r="I21" s="1070" t="s">
        <v>352</v>
      </c>
    </row>
    <row r="22" spans="2:9" ht="141" customHeight="1">
      <c r="B22" s="856"/>
      <c r="C22" s="1055"/>
      <c r="D22" s="170" t="s">
        <v>345</v>
      </c>
      <c r="E22" s="126" t="s">
        <v>107</v>
      </c>
      <c r="F22" s="142" t="s">
        <v>102</v>
      </c>
      <c r="G22" s="1095"/>
      <c r="H22" s="868"/>
      <c r="I22" s="1071"/>
    </row>
    <row r="23" spans="2:9" ht="90.75" customHeight="1">
      <c r="B23" s="856"/>
      <c r="C23" s="869" t="s">
        <v>303</v>
      </c>
      <c r="D23" s="138" t="s">
        <v>297</v>
      </c>
      <c r="E23" s="142" t="s">
        <v>12</v>
      </c>
      <c r="F23" s="88"/>
      <c r="G23" s="869" t="s">
        <v>349</v>
      </c>
      <c r="H23" s="867" t="s">
        <v>348</v>
      </c>
      <c r="I23" s="1070" t="s">
        <v>352</v>
      </c>
    </row>
    <row r="24" spans="2:9" ht="108" customHeight="1">
      <c r="B24" s="856"/>
      <c r="C24" s="1095"/>
      <c r="D24" s="170" t="s">
        <v>345</v>
      </c>
      <c r="E24" s="126" t="s">
        <v>107</v>
      </c>
      <c r="F24" s="142" t="s">
        <v>102</v>
      </c>
      <c r="G24" s="1095"/>
      <c r="H24" s="868"/>
      <c r="I24" s="1071"/>
    </row>
    <row r="25" spans="2:9" ht="108" customHeight="1">
      <c r="B25" s="856"/>
      <c r="C25" s="1099" t="s">
        <v>341</v>
      </c>
      <c r="D25" s="138" t="s">
        <v>297</v>
      </c>
      <c r="E25" s="142" t="s">
        <v>12</v>
      </c>
      <c r="F25" s="88" t="s">
        <v>31</v>
      </c>
      <c r="G25" s="869" t="s">
        <v>350</v>
      </c>
      <c r="H25" s="867" t="s">
        <v>351</v>
      </c>
      <c r="I25" s="1070" t="s">
        <v>352</v>
      </c>
    </row>
    <row r="26" spans="2:9" ht="120">
      <c r="B26" s="856"/>
      <c r="C26" s="1100"/>
      <c r="D26" s="170" t="s">
        <v>345</v>
      </c>
      <c r="E26" s="126" t="s">
        <v>107</v>
      </c>
      <c r="F26" s="142" t="s">
        <v>102</v>
      </c>
      <c r="G26" s="1095"/>
      <c r="H26" s="868"/>
      <c r="I26" s="1071"/>
    </row>
    <row r="27" spans="2:9" ht="96" customHeight="1">
      <c r="B27" s="856"/>
      <c r="C27" s="869" t="s">
        <v>282</v>
      </c>
      <c r="D27" s="138" t="s">
        <v>297</v>
      </c>
      <c r="E27" s="142" t="s">
        <v>12</v>
      </c>
      <c r="F27" s="88"/>
      <c r="G27" s="869" t="s">
        <v>349</v>
      </c>
      <c r="H27" s="867" t="s">
        <v>348</v>
      </c>
      <c r="I27" s="1070" t="s">
        <v>353</v>
      </c>
    </row>
    <row r="28" spans="2:9" ht="105.75" customHeight="1">
      <c r="B28" s="856"/>
      <c r="C28" s="1095"/>
      <c r="D28" s="170" t="s">
        <v>345</v>
      </c>
      <c r="E28" s="126" t="s">
        <v>107</v>
      </c>
      <c r="F28" s="126" t="s">
        <v>102</v>
      </c>
      <c r="G28" s="1095"/>
      <c r="H28" s="868"/>
      <c r="I28" s="1071"/>
    </row>
    <row r="29" spans="2:9" ht="147.75" customHeight="1">
      <c r="B29" s="856"/>
      <c r="C29" s="127" t="s">
        <v>249</v>
      </c>
      <c r="D29" s="137" t="s">
        <v>345</v>
      </c>
      <c r="E29" s="46" t="s">
        <v>307</v>
      </c>
      <c r="F29" s="46" t="s">
        <v>93</v>
      </c>
      <c r="G29" s="197" t="s">
        <v>537</v>
      </c>
      <c r="H29" s="131" t="s">
        <v>438</v>
      </c>
      <c r="I29" s="171" t="s">
        <v>352</v>
      </c>
    </row>
    <row r="30" spans="2:9" ht="180.75" customHeight="1">
      <c r="B30" s="856"/>
      <c r="C30" s="141" t="s">
        <v>304</v>
      </c>
      <c r="D30" s="138" t="s">
        <v>299</v>
      </c>
      <c r="E30" s="141" t="s">
        <v>305</v>
      </c>
      <c r="F30" s="89" t="s">
        <v>82</v>
      </c>
      <c r="G30" s="195" t="s">
        <v>537</v>
      </c>
      <c r="H30" s="193" t="s">
        <v>354</v>
      </c>
      <c r="I30" s="146"/>
    </row>
    <row r="31" spans="2:9" ht="135.75" thickBot="1">
      <c r="B31" s="861"/>
      <c r="C31" s="125" t="s">
        <v>250</v>
      </c>
      <c r="D31" s="129" t="s">
        <v>299</v>
      </c>
      <c r="E31" s="125" t="s">
        <v>305</v>
      </c>
      <c r="F31" s="98" t="s">
        <v>82</v>
      </c>
      <c r="G31" s="196"/>
      <c r="H31" s="99" t="s">
        <v>354</v>
      </c>
      <c r="I31" s="172"/>
    </row>
    <row r="32" spans="2:9" ht="90">
      <c r="B32" s="845" t="s">
        <v>252</v>
      </c>
      <c r="C32" s="1094" t="s">
        <v>253</v>
      </c>
      <c r="D32" s="101" t="s">
        <v>301</v>
      </c>
      <c r="E32" s="132" t="s">
        <v>64</v>
      </c>
      <c r="F32" s="102" t="s">
        <v>61</v>
      </c>
      <c r="G32" s="1072" t="s">
        <v>543</v>
      </c>
      <c r="H32" s="1072"/>
      <c r="I32" s="1068" t="s">
        <v>355</v>
      </c>
    </row>
    <row r="33" spans="2:10" ht="90">
      <c r="B33" s="846"/>
      <c r="C33" s="1095"/>
      <c r="D33" s="139" t="s">
        <v>301</v>
      </c>
      <c r="E33" s="45" t="s">
        <v>68</v>
      </c>
      <c r="F33" s="84"/>
      <c r="G33" s="1073"/>
      <c r="H33" s="1073"/>
      <c r="I33" s="1069"/>
    </row>
    <row r="34" spans="2:10" ht="83.25" customHeight="1">
      <c r="B34" s="846"/>
      <c r="C34" s="47" t="s">
        <v>306</v>
      </c>
      <c r="D34" s="137" t="s">
        <v>301</v>
      </c>
      <c r="E34" s="47"/>
      <c r="F34" s="85"/>
      <c r="G34" s="46" t="s">
        <v>358</v>
      </c>
      <c r="H34" s="136" t="s">
        <v>357</v>
      </c>
      <c r="I34" s="103" t="s">
        <v>356</v>
      </c>
    </row>
    <row r="35" spans="2:10" ht="87" customHeight="1">
      <c r="B35" s="846"/>
      <c r="C35" s="45" t="s">
        <v>359</v>
      </c>
      <c r="D35" s="139" t="s">
        <v>301</v>
      </c>
      <c r="E35" s="4"/>
      <c r="F35" s="84"/>
      <c r="G35" s="45" t="s">
        <v>360</v>
      </c>
      <c r="H35" s="138" t="s">
        <v>361</v>
      </c>
      <c r="I35" s="104" t="s">
        <v>362</v>
      </c>
    </row>
    <row r="36" spans="2:10" ht="90.75" customHeight="1">
      <c r="B36" s="846"/>
      <c r="C36" s="47" t="s">
        <v>283</v>
      </c>
      <c r="D36" s="137" t="s">
        <v>301</v>
      </c>
      <c r="E36" s="47"/>
      <c r="F36" s="85"/>
      <c r="G36" s="46" t="s">
        <v>363</v>
      </c>
      <c r="H36" s="136" t="s">
        <v>364</v>
      </c>
      <c r="I36" s="103" t="s">
        <v>365</v>
      </c>
    </row>
    <row r="37" spans="2:10" ht="81" customHeight="1">
      <c r="B37" s="846"/>
      <c r="C37" s="45" t="s">
        <v>366</v>
      </c>
      <c r="D37" s="139" t="s">
        <v>301</v>
      </c>
      <c r="E37" s="45"/>
      <c r="F37" s="84"/>
      <c r="G37" s="45" t="s">
        <v>367</v>
      </c>
      <c r="H37" s="138" t="s">
        <v>368</v>
      </c>
      <c r="I37" s="104" t="s">
        <v>365</v>
      </c>
    </row>
    <row r="38" spans="2:10" ht="138.75" customHeight="1">
      <c r="B38" s="846"/>
      <c r="C38" s="47" t="s">
        <v>254</v>
      </c>
      <c r="D38" s="137" t="s">
        <v>301</v>
      </c>
      <c r="E38" s="47"/>
      <c r="F38" s="85"/>
      <c r="G38" s="46" t="s">
        <v>370</v>
      </c>
      <c r="H38" s="136" t="s">
        <v>371</v>
      </c>
      <c r="I38" s="103" t="s">
        <v>372</v>
      </c>
    </row>
    <row r="39" spans="2:10" ht="113.25" customHeight="1">
      <c r="B39" s="846"/>
      <c r="C39" s="1053" t="s">
        <v>255</v>
      </c>
      <c r="D39" s="144" t="s">
        <v>301</v>
      </c>
      <c r="E39" s="143" t="s">
        <v>439</v>
      </c>
      <c r="F39" s="97" t="s">
        <v>52</v>
      </c>
      <c r="G39" s="1105" t="s">
        <v>440</v>
      </c>
      <c r="H39" s="1033" t="s">
        <v>441</v>
      </c>
      <c r="I39" s="1107" t="s">
        <v>374</v>
      </c>
      <c r="J39" s="1101" t="s">
        <v>544</v>
      </c>
    </row>
    <row r="40" spans="2:10" ht="60.75" customHeight="1">
      <c r="B40" s="846"/>
      <c r="C40" s="1055"/>
      <c r="D40" s="144" t="s">
        <v>301</v>
      </c>
      <c r="E40" s="143" t="s">
        <v>58</v>
      </c>
      <c r="F40" s="97"/>
      <c r="G40" s="1106"/>
      <c r="H40" s="1035"/>
      <c r="I40" s="1108"/>
      <c r="J40" s="1101"/>
    </row>
    <row r="41" spans="2:10" ht="169.5" customHeight="1">
      <c r="B41" s="846"/>
      <c r="C41" s="47" t="s">
        <v>256</v>
      </c>
      <c r="D41" s="137" t="s">
        <v>301</v>
      </c>
      <c r="E41" s="47" t="s">
        <v>176</v>
      </c>
      <c r="F41" s="78" t="s">
        <v>373</v>
      </c>
      <c r="G41" s="46" t="s">
        <v>442</v>
      </c>
      <c r="H41" s="136" t="s">
        <v>375</v>
      </c>
      <c r="I41" s="103" t="s">
        <v>356</v>
      </c>
    </row>
    <row r="42" spans="2:10" ht="90">
      <c r="B42" s="846"/>
      <c r="C42" s="45" t="s">
        <v>257</v>
      </c>
      <c r="D42" s="139" t="s">
        <v>301</v>
      </c>
      <c r="E42" s="45"/>
      <c r="F42" s="84"/>
      <c r="G42" s="142" t="s">
        <v>376</v>
      </c>
      <c r="H42" s="138" t="s">
        <v>378</v>
      </c>
      <c r="I42" s="104" t="s">
        <v>377</v>
      </c>
    </row>
    <row r="43" spans="2:10" ht="90">
      <c r="B43" s="846"/>
      <c r="C43" s="47" t="s">
        <v>379</v>
      </c>
      <c r="D43" s="137" t="s">
        <v>301</v>
      </c>
      <c r="E43" s="47"/>
      <c r="F43" s="85"/>
      <c r="G43" s="47" t="s">
        <v>382</v>
      </c>
      <c r="H43" s="136" t="s">
        <v>381</v>
      </c>
      <c r="I43" s="103" t="s">
        <v>380</v>
      </c>
    </row>
    <row r="44" spans="2:10" ht="93.75" customHeight="1" thickBot="1">
      <c r="B44" s="847"/>
      <c r="C44" s="63" t="s">
        <v>258</v>
      </c>
      <c r="D44" s="64" t="s">
        <v>301</v>
      </c>
      <c r="E44" s="63"/>
      <c r="F44" s="86"/>
      <c r="G44" s="61" t="s">
        <v>383</v>
      </c>
      <c r="H44" s="62" t="s">
        <v>384</v>
      </c>
      <c r="I44" s="105" t="s">
        <v>385</v>
      </c>
    </row>
    <row r="45" spans="2:10" ht="90">
      <c r="B45" s="854" t="s">
        <v>261</v>
      </c>
      <c r="C45" s="57" t="s">
        <v>259</v>
      </c>
      <c r="D45" s="58" t="s">
        <v>308</v>
      </c>
      <c r="E45" s="57" t="s">
        <v>47</v>
      </c>
      <c r="F45" s="106" t="s">
        <v>43</v>
      </c>
      <c r="G45" s="106" t="s">
        <v>387</v>
      </c>
      <c r="H45" s="58" t="s">
        <v>388</v>
      </c>
      <c r="I45" s="107" t="s">
        <v>386</v>
      </c>
    </row>
    <row r="46" spans="2:10" ht="90">
      <c r="B46" s="856"/>
      <c r="C46" s="46" t="s">
        <v>284</v>
      </c>
      <c r="D46" s="53"/>
      <c r="E46" s="46"/>
      <c r="F46" s="78"/>
      <c r="G46" s="46" t="s">
        <v>389</v>
      </c>
      <c r="H46" s="53" t="s">
        <v>390</v>
      </c>
      <c r="I46" s="103" t="s">
        <v>443</v>
      </c>
    </row>
    <row r="47" spans="2:10" ht="113.25" customHeight="1">
      <c r="B47" s="856"/>
      <c r="C47" s="91" t="s">
        <v>260</v>
      </c>
      <c r="D47" s="94" t="s">
        <v>308</v>
      </c>
      <c r="E47" s="91" t="s">
        <v>47</v>
      </c>
      <c r="F47" s="79"/>
      <c r="G47" s="91" t="s">
        <v>392</v>
      </c>
      <c r="H47" s="94" t="s">
        <v>391</v>
      </c>
      <c r="I47" s="104" t="s">
        <v>393</v>
      </c>
    </row>
    <row r="48" spans="2:10" ht="75">
      <c r="B48" s="856"/>
      <c r="C48" s="46" t="s">
        <v>309</v>
      </c>
      <c r="D48" s="53"/>
      <c r="E48" s="46"/>
      <c r="F48" s="78"/>
      <c r="G48" s="46" t="s">
        <v>394</v>
      </c>
      <c r="H48" s="53" t="s">
        <v>395</v>
      </c>
      <c r="I48" s="103" t="s">
        <v>396</v>
      </c>
    </row>
    <row r="49" spans="2:10" ht="142.5" customHeight="1">
      <c r="B49" s="856"/>
      <c r="C49" s="91" t="s">
        <v>310</v>
      </c>
      <c r="D49" s="94" t="s">
        <v>308</v>
      </c>
      <c r="E49" s="91" t="s">
        <v>47</v>
      </c>
      <c r="F49" s="79" t="s">
        <v>45</v>
      </c>
      <c r="G49" s="91" t="s">
        <v>397</v>
      </c>
      <c r="H49" s="94" t="s">
        <v>399</v>
      </c>
      <c r="I49" s="104" t="s">
        <v>398</v>
      </c>
    </row>
    <row r="50" spans="2:10" ht="106.5" customHeight="1" thickBot="1">
      <c r="B50" s="857"/>
      <c r="C50" s="59" t="s">
        <v>311</v>
      </c>
      <c r="D50" s="60" t="s">
        <v>308</v>
      </c>
      <c r="E50" s="59" t="s">
        <v>47</v>
      </c>
      <c r="F50" s="82" t="s">
        <v>43</v>
      </c>
      <c r="G50" s="59" t="s">
        <v>400</v>
      </c>
      <c r="H50" s="60" t="s">
        <v>401</v>
      </c>
      <c r="I50" s="108" t="s">
        <v>398</v>
      </c>
    </row>
    <row r="51" spans="2:10" ht="175.5" customHeight="1">
      <c r="B51" s="855" t="s">
        <v>262</v>
      </c>
      <c r="C51" s="93" t="s">
        <v>312</v>
      </c>
      <c r="D51" s="92"/>
      <c r="E51" s="93" t="s">
        <v>416</v>
      </c>
      <c r="F51" s="77"/>
      <c r="G51" s="113" t="s">
        <v>444</v>
      </c>
      <c r="H51" s="109" t="s">
        <v>445</v>
      </c>
      <c r="I51" s="109" t="s">
        <v>417</v>
      </c>
    </row>
    <row r="52" spans="2:10" ht="90">
      <c r="B52" s="856"/>
      <c r="C52" s="46" t="s">
        <v>263</v>
      </c>
      <c r="D52" s="53"/>
      <c r="E52" s="46" t="s">
        <v>46</v>
      </c>
      <c r="F52" s="78" t="s">
        <v>41</v>
      </c>
      <c r="G52" s="46" t="s">
        <v>418</v>
      </c>
      <c r="H52" s="53" t="s">
        <v>419</v>
      </c>
      <c r="I52" s="53" t="s">
        <v>420</v>
      </c>
    </row>
    <row r="53" spans="2:10" ht="204" customHeight="1">
      <c r="B53" s="856"/>
      <c r="C53" s="43" t="s">
        <v>264</v>
      </c>
      <c r="D53" s="52"/>
      <c r="E53" s="43"/>
      <c r="F53" s="79"/>
      <c r="G53" s="90" t="s">
        <v>545</v>
      </c>
      <c r="H53" s="95"/>
      <c r="I53" s="112" t="s">
        <v>421</v>
      </c>
    </row>
    <row r="54" spans="2:10" ht="212.25" customHeight="1">
      <c r="B54" s="856"/>
      <c r="C54" s="46" t="s">
        <v>265</v>
      </c>
      <c r="D54" s="53"/>
      <c r="E54" s="46"/>
      <c r="F54" s="78"/>
      <c r="G54" s="115" t="s">
        <v>547</v>
      </c>
      <c r="H54" s="198" t="s">
        <v>446</v>
      </c>
      <c r="I54" s="53" t="s">
        <v>546</v>
      </c>
    </row>
    <row r="55" spans="2:10" ht="60">
      <c r="B55" s="856"/>
      <c r="C55" s="43" t="s">
        <v>266</v>
      </c>
      <c r="D55" s="52" t="s">
        <v>297</v>
      </c>
      <c r="E55" s="43" t="s">
        <v>6</v>
      </c>
      <c r="F55" s="79" t="s">
        <v>19</v>
      </c>
      <c r="G55" s="110" t="s">
        <v>422</v>
      </c>
      <c r="H55" s="111" t="s">
        <v>423</v>
      </c>
      <c r="I55" s="111" t="s">
        <v>335</v>
      </c>
    </row>
    <row r="56" spans="2:10" ht="117.75" customHeight="1">
      <c r="B56" s="856"/>
      <c r="C56" s="46" t="s">
        <v>267</v>
      </c>
      <c r="D56" s="53"/>
      <c r="E56" s="46"/>
      <c r="F56" s="78"/>
      <c r="G56" s="116" t="s">
        <v>447</v>
      </c>
      <c r="H56" s="117" t="s">
        <v>425</v>
      </c>
      <c r="I56" s="117" t="s">
        <v>424</v>
      </c>
    </row>
    <row r="57" spans="2:10" ht="51.75" customHeight="1">
      <c r="B57" s="856"/>
      <c r="C57" s="43" t="s">
        <v>268</v>
      </c>
      <c r="D57" s="52"/>
      <c r="E57" s="43"/>
      <c r="F57" s="79"/>
      <c r="G57" s="110" t="s">
        <v>426</v>
      </c>
      <c r="H57" s="138" t="s">
        <v>427</v>
      </c>
      <c r="I57" s="111" t="s">
        <v>428</v>
      </c>
    </row>
    <row r="58" spans="2:10" ht="60">
      <c r="B58" s="856"/>
      <c r="C58" s="46" t="s">
        <v>269</v>
      </c>
      <c r="D58" s="53"/>
      <c r="E58" s="46"/>
      <c r="F58" s="78"/>
      <c r="G58" s="114" t="s">
        <v>429</v>
      </c>
      <c r="H58" s="53" t="s">
        <v>431</v>
      </c>
      <c r="I58" s="53" t="s">
        <v>430</v>
      </c>
    </row>
    <row r="59" spans="2:10" ht="75" customHeight="1">
      <c r="B59" s="856"/>
      <c r="C59" s="43" t="s">
        <v>270</v>
      </c>
      <c r="D59" s="52"/>
      <c r="E59" s="43"/>
      <c r="F59" s="79"/>
      <c r="G59" s="111" t="s">
        <v>432</v>
      </c>
      <c r="H59" s="95" t="s">
        <v>433</v>
      </c>
      <c r="I59" s="111" t="s">
        <v>434</v>
      </c>
    </row>
    <row r="60" spans="2:10" ht="51">
      <c r="B60" s="856"/>
      <c r="C60" s="1086" t="s">
        <v>271</v>
      </c>
      <c r="D60" s="1109" t="s">
        <v>297</v>
      </c>
      <c r="E60" s="1086" t="s">
        <v>11</v>
      </c>
      <c r="F60" s="78" t="s">
        <v>25</v>
      </c>
      <c r="G60" s="1096" t="s">
        <v>548</v>
      </c>
      <c r="H60" s="867" t="s">
        <v>512</v>
      </c>
      <c r="I60" s="867" t="s">
        <v>513</v>
      </c>
    </row>
    <row r="61" spans="2:10" ht="174" customHeight="1">
      <c r="B61" s="856"/>
      <c r="C61" s="1087"/>
      <c r="D61" s="1110"/>
      <c r="E61" s="1087"/>
      <c r="F61" s="78" t="s">
        <v>26</v>
      </c>
      <c r="G61" s="1097"/>
      <c r="H61" s="868"/>
      <c r="I61" s="1067"/>
    </row>
    <row r="62" spans="2:10" ht="310.5" customHeight="1" thickBot="1">
      <c r="B62" s="857"/>
      <c r="C62" s="178" t="s">
        <v>313</v>
      </c>
      <c r="D62" s="62"/>
      <c r="E62" s="61"/>
      <c r="F62" s="83"/>
      <c r="G62" s="176" t="s">
        <v>515</v>
      </c>
      <c r="H62" s="180" t="s">
        <v>516</v>
      </c>
      <c r="I62" s="50"/>
      <c r="J62" s="179" t="s">
        <v>514</v>
      </c>
    </row>
    <row r="63" spans="2:10" ht="183" customHeight="1">
      <c r="B63" s="854" t="s">
        <v>273</v>
      </c>
      <c r="C63" s="57" t="s">
        <v>549</v>
      </c>
      <c r="D63" s="58" t="s">
        <v>299</v>
      </c>
      <c r="E63" s="57" t="s">
        <v>76</v>
      </c>
      <c r="F63" s="76" t="s">
        <v>73</v>
      </c>
      <c r="G63" s="192" t="s">
        <v>435</v>
      </c>
      <c r="H63" s="96" t="s">
        <v>403</v>
      </c>
      <c r="I63" s="96" t="s">
        <v>402</v>
      </c>
    </row>
    <row r="64" spans="2:10" ht="105">
      <c r="B64" s="856"/>
      <c r="C64" s="46" t="s">
        <v>285</v>
      </c>
      <c r="D64" s="53" t="s">
        <v>299</v>
      </c>
      <c r="E64" s="46" t="s">
        <v>76</v>
      </c>
      <c r="F64" s="78" t="s">
        <v>72</v>
      </c>
      <c r="G64" s="199" t="s">
        <v>405</v>
      </c>
      <c r="H64" s="53" t="s">
        <v>406</v>
      </c>
      <c r="I64" s="53" t="s">
        <v>407</v>
      </c>
    </row>
    <row r="65" spans="2:10" ht="75">
      <c r="B65" s="856"/>
      <c r="C65" s="43" t="s">
        <v>272</v>
      </c>
      <c r="D65" s="52" t="s">
        <v>299</v>
      </c>
      <c r="E65" s="43" t="s">
        <v>76</v>
      </c>
      <c r="F65" s="79"/>
      <c r="G65" s="74" t="s">
        <v>408</v>
      </c>
      <c r="H65" s="96" t="s">
        <v>409</v>
      </c>
      <c r="I65" s="96" t="s">
        <v>402</v>
      </c>
    </row>
    <row r="66" spans="2:10" ht="246.75" customHeight="1">
      <c r="B66" s="856"/>
      <c r="C66" s="46" t="s">
        <v>286</v>
      </c>
      <c r="D66" s="53" t="s">
        <v>299</v>
      </c>
      <c r="E66" s="46" t="s">
        <v>76</v>
      </c>
      <c r="F66" s="78"/>
      <c r="G66" s="1102" t="s">
        <v>550</v>
      </c>
      <c r="H66" s="53" t="s">
        <v>410</v>
      </c>
      <c r="I66" s="53" t="s">
        <v>517</v>
      </c>
    </row>
    <row r="67" spans="2:10" ht="117" customHeight="1" thickBot="1">
      <c r="B67" s="861"/>
      <c r="C67" s="122" t="s">
        <v>287</v>
      </c>
      <c r="D67" s="118"/>
      <c r="E67" s="122"/>
      <c r="F67" s="145"/>
      <c r="G67" s="1103"/>
      <c r="H67" s="123"/>
      <c r="I67" s="175" t="s">
        <v>518</v>
      </c>
    </row>
    <row r="68" spans="2:10" ht="111" customHeight="1">
      <c r="B68" s="854" t="s">
        <v>278</v>
      </c>
      <c r="C68" s="57" t="s">
        <v>315</v>
      </c>
      <c r="D68" s="58" t="s">
        <v>297</v>
      </c>
      <c r="E68" s="57"/>
      <c r="F68" s="76"/>
      <c r="G68" s="1094" t="s">
        <v>552</v>
      </c>
      <c r="H68" s="101" t="s">
        <v>411</v>
      </c>
      <c r="I68" s="107" t="s">
        <v>412</v>
      </c>
    </row>
    <row r="69" spans="2:10" ht="38.25" customHeight="1">
      <c r="B69" s="856"/>
      <c r="C69" s="1086" t="s">
        <v>288</v>
      </c>
      <c r="D69" s="124" t="s">
        <v>297</v>
      </c>
      <c r="E69" s="46"/>
      <c r="F69" s="78"/>
      <c r="G69" s="1104"/>
      <c r="H69" s="1080" t="s">
        <v>553</v>
      </c>
      <c r="I69" s="1070" t="s">
        <v>412</v>
      </c>
    </row>
    <row r="70" spans="2:10" ht="66" customHeight="1">
      <c r="B70" s="856"/>
      <c r="C70" s="1087"/>
      <c r="D70" s="124" t="s">
        <v>297</v>
      </c>
      <c r="E70" s="46"/>
      <c r="F70" s="78" t="s">
        <v>24</v>
      </c>
      <c r="G70" s="1095"/>
      <c r="H70" s="1080"/>
      <c r="I70" s="1069"/>
    </row>
    <row r="71" spans="2:10" ht="108.75" customHeight="1">
      <c r="B71" s="856"/>
      <c r="C71" s="119" t="s">
        <v>554</v>
      </c>
      <c r="D71" s="120" t="s">
        <v>297</v>
      </c>
      <c r="E71" s="119"/>
      <c r="F71" s="79"/>
      <c r="G71" s="201" t="s">
        <v>413</v>
      </c>
      <c r="H71" s="202" t="s">
        <v>414</v>
      </c>
      <c r="I71" s="203" t="s">
        <v>415</v>
      </c>
    </row>
    <row r="72" spans="2:10" ht="125.25" customHeight="1">
      <c r="B72" s="856"/>
      <c r="C72" s="116" t="s">
        <v>289</v>
      </c>
      <c r="D72" s="124" t="s">
        <v>301</v>
      </c>
      <c r="E72" s="46" t="s">
        <v>167</v>
      </c>
      <c r="F72" s="78"/>
      <c r="G72" s="181" t="s">
        <v>561</v>
      </c>
      <c r="H72" s="200" t="s">
        <v>551</v>
      </c>
      <c r="I72" s="103" t="s">
        <v>374</v>
      </c>
    </row>
    <row r="73" spans="2:10" ht="48.75" customHeight="1">
      <c r="B73" s="856"/>
      <c r="C73" s="119" t="s">
        <v>275</v>
      </c>
      <c r="D73" s="120" t="s">
        <v>301</v>
      </c>
      <c r="E73" s="173" t="s">
        <v>167</v>
      </c>
      <c r="F73" s="79"/>
      <c r="G73" s="173" t="s">
        <v>503</v>
      </c>
      <c r="H73" s="121" t="s">
        <v>506</v>
      </c>
      <c r="I73" s="104" t="s">
        <v>504</v>
      </c>
    </row>
    <row r="74" spans="2:10" ht="127.5" customHeight="1">
      <c r="B74" s="856"/>
      <c r="C74" s="186" t="s">
        <v>276</v>
      </c>
      <c r="D74" s="188" t="s">
        <v>297</v>
      </c>
      <c r="E74" s="186"/>
      <c r="F74" s="167"/>
      <c r="G74" s="195" t="s">
        <v>555</v>
      </c>
      <c r="H74" s="185" t="s">
        <v>556</v>
      </c>
      <c r="I74" s="187" t="s">
        <v>505</v>
      </c>
    </row>
    <row r="75" spans="2:10" ht="90" customHeight="1">
      <c r="B75" s="861"/>
      <c r="C75" s="1062" t="s">
        <v>277</v>
      </c>
      <c r="D75" s="1012" t="s">
        <v>297</v>
      </c>
      <c r="E75" s="1015" t="s">
        <v>161</v>
      </c>
      <c r="F75" s="80" t="s">
        <v>295</v>
      </c>
      <c r="G75" s="1062" t="s">
        <v>557</v>
      </c>
      <c r="H75" s="189" t="s">
        <v>507</v>
      </c>
      <c r="I75" s="1080" t="s">
        <v>509</v>
      </c>
      <c r="J75" s="184" t="s">
        <v>508</v>
      </c>
    </row>
    <row r="76" spans="2:10" ht="91.5" customHeight="1" thickBot="1">
      <c r="B76" s="857"/>
      <c r="C76" s="1062"/>
      <c r="D76" s="1012"/>
      <c r="E76" s="1015"/>
      <c r="F76" s="80"/>
      <c r="G76" s="1062"/>
      <c r="H76" s="189" t="s">
        <v>511</v>
      </c>
      <c r="I76" s="1080"/>
      <c r="J76" s="184" t="s">
        <v>510</v>
      </c>
    </row>
  </sheetData>
  <autoFilter ref="B2:J76" xr:uid="{00000000-0009-0000-0000-00000E000000}">
    <filterColumn colId="0" showButton="0"/>
    <filterColumn colId="2" showButton="0"/>
    <filterColumn colId="3" showButton="0"/>
  </autoFilter>
  <mergeCells count="69">
    <mergeCell ref="J39:J40"/>
    <mergeCell ref="G66:G67"/>
    <mergeCell ref="G68:G70"/>
    <mergeCell ref="G75:G76"/>
    <mergeCell ref="C39:C40"/>
    <mergeCell ref="G39:G40"/>
    <mergeCell ref="H39:H40"/>
    <mergeCell ref="I39:I40"/>
    <mergeCell ref="C75:C76"/>
    <mergeCell ref="D75:D76"/>
    <mergeCell ref="E75:E76"/>
    <mergeCell ref="C69:C70"/>
    <mergeCell ref="H69:H70"/>
    <mergeCell ref="I69:I70"/>
    <mergeCell ref="D60:D61"/>
    <mergeCell ref="E60:E61"/>
    <mergeCell ref="C60:C61"/>
    <mergeCell ref="I75:I76"/>
    <mergeCell ref="G60:G61"/>
    <mergeCell ref="B68:B76"/>
    <mergeCell ref="B4:B19"/>
    <mergeCell ref="B20:B31"/>
    <mergeCell ref="B45:B50"/>
    <mergeCell ref="B51:B62"/>
    <mergeCell ref="B32:B44"/>
    <mergeCell ref="B63:B67"/>
    <mergeCell ref="G8:G9"/>
    <mergeCell ref="G10:G11"/>
    <mergeCell ref="C21:C22"/>
    <mergeCell ref="G21:G22"/>
    <mergeCell ref="C25:C26"/>
    <mergeCell ref="G25:G26"/>
    <mergeCell ref="C10:C11"/>
    <mergeCell ref="C8:C9"/>
    <mergeCell ref="G32:G33"/>
    <mergeCell ref="C23:C24"/>
    <mergeCell ref="G23:G24"/>
    <mergeCell ref="C27:C28"/>
    <mergeCell ref="G27:G28"/>
    <mergeCell ref="C32:C33"/>
    <mergeCell ref="G2:G3"/>
    <mergeCell ref="G4:G5"/>
    <mergeCell ref="C6:C7"/>
    <mergeCell ref="G6:G7"/>
    <mergeCell ref="H2:H3"/>
    <mergeCell ref="H4:H5"/>
    <mergeCell ref="H6:H7"/>
    <mergeCell ref="D2:F2"/>
    <mergeCell ref="B2:C2"/>
    <mergeCell ref="C4:C5"/>
    <mergeCell ref="I2:I3"/>
    <mergeCell ref="I4:I5"/>
    <mergeCell ref="I6:I7"/>
    <mergeCell ref="H8:H9"/>
    <mergeCell ref="I8:I9"/>
    <mergeCell ref="H60:H61"/>
    <mergeCell ref="I60:I61"/>
    <mergeCell ref="I32:I33"/>
    <mergeCell ref="H10:H11"/>
    <mergeCell ref="I10:I11"/>
    <mergeCell ref="H21:H22"/>
    <mergeCell ref="I21:I22"/>
    <mergeCell ref="H23:H24"/>
    <mergeCell ref="I23:I24"/>
    <mergeCell ref="H25:H26"/>
    <mergeCell ref="I25:I26"/>
    <mergeCell ref="H27:H28"/>
    <mergeCell ref="I27:I28"/>
    <mergeCell ref="H32:H3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1"/>
  <sheetViews>
    <sheetView showGridLines="0" workbookViewId="0">
      <selection activeCell="O21" sqref="O21"/>
    </sheetView>
  </sheetViews>
  <sheetFormatPr baseColWidth="10" defaultRowHeight="15"/>
  <cols>
    <col min="1" max="1" width="4.42578125" customWidth="1"/>
  </cols>
  <sheetData>
    <row r="2" spans="2:7" ht="15.75">
      <c r="B2" s="49" t="s">
        <v>321</v>
      </c>
    </row>
    <row r="3" spans="2:7" ht="8.25" customHeight="1"/>
    <row r="4" spans="2:7" ht="15.75">
      <c r="B4" s="70" t="s">
        <v>320</v>
      </c>
      <c r="C4" s="69"/>
      <c r="D4" s="69"/>
      <c r="E4" s="69"/>
      <c r="F4" s="69"/>
      <c r="G4" s="4"/>
    </row>
    <row r="19" spans="2:15" ht="15.75">
      <c r="B19" s="70" t="s">
        <v>319</v>
      </c>
      <c r="C19" s="69"/>
      <c r="D19" s="69"/>
      <c r="E19" s="69"/>
      <c r="F19" s="69"/>
    </row>
    <row r="21" spans="2:15">
      <c r="O21" s="7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N172"/>
  <sheetViews>
    <sheetView showGridLines="0" view="pageBreakPreview" topLeftCell="D139" zoomScaleNormal="100" zoomScaleSheetLayoutView="100" workbookViewId="0">
      <selection activeCell="I3" sqref="I3"/>
    </sheetView>
  </sheetViews>
  <sheetFormatPr baseColWidth="10" defaultColWidth="0" defaultRowHeight="15"/>
  <cols>
    <col min="1" max="1" width="40.7109375" style="147" customWidth="1"/>
    <col min="2" max="2" width="32.85546875" style="8" customWidth="1"/>
    <col min="3" max="3" width="46.85546875" customWidth="1"/>
    <col min="4" max="4" width="26.85546875" style="183" customWidth="1"/>
    <col min="5" max="5" width="24.140625" style="230" customWidth="1"/>
    <col min="6" max="6" width="6.140625" style="183" customWidth="1"/>
    <col min="7" max="7" width="51.28515625" style="182" customWidth="1"/>
    <col min="8" max="8" width="3.42578125" style="183" customWidth="1"/>
    <col min="9" max="9" width="53.42578125" style="182" customWidth="1"/>
    <col min="10" max="10" width="3.140625" style="336" customWidth="1"/>
    <col min="11" max="13" width="3.140625" style="336" hidden="1" customWidth="1"/>
    <col min="14" max="14" width="2.7109375" style="336" hidden="1" customWidth="1"/>
    <col min="15" max="16384" width="11.42578125" style="336" hidden="1"/>
  </cols>
  <sheetData>
    <row r="1" spans="1:10" s="377" customFormat="1" ht="21.75" customHeight="1">
      <c r="A1" s="837" t="s">
        <v>663</v>
      </c>
      <c r="B1" s="837"/>
      <c r="C1" s="837"/>
      <c r="D1" s="837"/>
      <c r="E1" s="838" t="s">
        <v>708</v>
      </c>
      <c r="F1" s="838"/>
      <c r="G1" s="838"/>
      <c r="H1" s="838"/>
      <c r="I1" s="838"/>
      <c r="J1" s="376"/>
    </row>
    <row r="2" spans="1:10" ht="31.5" customHeight="1">
      <c r="A2" s="206" t="s">
        <v>707</v>
      </c>
      <c r="B2" s="206" t="s">
        <v>706</v>
      </c>
      <c r="C2" s="206" t="s">
        <v>705</v>
      </c>
      <c r="D2" s="206" t="s">
        <v>718</v>
      </c>
      <c r="E2" s="221" t="s">
        <v>577</v>
      </c>
      <c r="F2" s="839" t="s">
        <v>598</v>
      </c>
      <c r="G2" s="839"/>
      <c r="H2" s="839" t="s">
        <v>1167</v>
      </c>
      <c r="I2" s="839"/>
    </row>
    <row r="3" spans="1:10" ht="41.25" customHeight="1">
      <c r="A3" s="818" t="s">
        <v>712</v>
      </c>
      <c r="B3" s="818" t="s">
        <v>3</v>
      </c>
      <c r="C3" s="818" t="s">
        <v>934</v>
      </c>
      <c r="D3" s="820" t="s">
        <v>116</v>
      </c>
      <c r="E3" s="820" t="s">
        <v>576</v>
      </c>
      <c r="F3" s="823" t="s">
        <v>580</v>
      </c>
      <c r="G3" s="824" t="s">
        <v>579</v>
      </c>
      <c r="H3" s="346">
        <v>1</v>
      </c>
      <c r="I3" s="347" t="s">
        <v>1024</v>
      </c>
    </row>
    <row r="4" spans="1:10" ht="57.75" customHeight="1">
      <c r="A4" s="818"/>
      <c r="B4" s="818"/>
      <c r="C4" s="818"/>
      <c r="D4" s="820"/>
      <c r="E4" s="820"/>
      <c r="F4" s="823"/>
      <c r="G4" s="824"/>
      <c r="H4" s="346">
        <v>2</v>
      </c>
      <c r="I4" s="347" t="s">
        <v>857</v>
      </c>
    </row>
    <row r="5" spans="1:10" ht="30.75" customHeight="1">
      <c r="A5" s="818"/>
      <c r="B5" s="818"/>
      <c r="C5" s="818"/>
      <c r="D5" s="820"/>
      <c r="E5" s="820"/>
      <c r="F5" s="823"/>
      <c r="G5" s="824"/>
      <c r="H5" s="346">
        <v>3</v>
      </c>
      <c r="I5" s="347" t="s">
        <v>1157</v>
      </c>
    </row>
    <row r="6" spans="1:10" ht="76.5">
      <c r="A6" s="818"/>
      <c r="B6" s="818"/>
      <c r="C6" s="818"/>
      <c r="D6" s="820"/>
      <c r="E6" s="820"/>
      <c r="F6" s="823" t="s">
        <v>585</v>
      </c>
      <c r="G6" s="824" t="s">
        <v>858</v>
      </c>
      <c r="H6" s="346">
        <v>1</v>
      </c>
      <c r="I6" s="347" t="s">
        <v>564</v>
      </c>
    </row>
    <row r="7" spans="1:10" ht="66" customHeight="1">
      <c r="A7" s="818"/>
      <c r="B7" s="818"/>
      <c r="C7" s="818"/>
      <c r="D7" s="820"/>
      <c r="E7" s="820"/>
      <c r="F7" s="823"/>
      <c r="G7" s="824"/>
      <c r="H7" s="346">
        <v>2</v>
      </c>
      <c r="I7" s="347" t="s">
        <v>964</v>
      </c>
    </row>
    <row r="8" spans="1:10" ht="57.75" customHeight="1">
      <c r="A8" s="802" t="s">
        <v>712</v>
      </c>
      <c r="B8" s="802" t="s">
        <v>4</v>
      </c>
      <c r="C8" s="802" t="s">
        <v>675</v>
      </c>
      <c r="D8" s="819" t="s">
        <v>117</v>
      </c>
      <c r="E8" s="368" t="s">
        <v>576</v>
      </c>
      <c r="F8" s="364" t="s">
        <v>588</v>
      </c>
      <c r="G8" s="348" t="s">
        <v>590</v>
      </c>
      <c r="H8" s="349">
        <v>1</v>
      </c>
      <c r="I8" s="350" t="s">
        <v>759</v>
      </c>
    </row>
    <row r="9" spans="1:10" ht="54" customHeight="1">
      <c r="A9" s="802"/>
      <c r="B9" s="802"/>
      <c r="C9" s="802"/>
      <c r="D9" s="819"/>
      <c r="E9" s="368" t="s">
        <v>633</v>
      </c>
      <c r="F9" s="364" t="s">
        <v>638</v>
      </c>
      <c r="G9" s="348" t="s">
        <v>569</v>
      </c>
      <c r="H9" s="349">
        <v>1</v>
      </c>
      <c r="I9" s="350" t="s">
        <v>570</v>
      </c>
    </row>
    <row r="10" spans="1:10" ht="41.25" customHeight="1">
      <c r="A10" s="802"/>
      <c r="B10" s="802"/>
      <c r="C10" s="802"/>
      <c r="D10" s="819"/>
      <c r="E10" s="819" t="s">
        <v>273</v>
      </c>
      <c r="F10" s="821" t="s">
        <v>648</v>
      </c>
      <c r="G10" s="822" t="s">
        <v>968</v>
      </c>
      <c r="H10" s="349">
        <v>1</v>
      </c>
      <c r="I10" s="350" t="s">
        <v>970</v>
      </c>
    </row>
    <row r="11" spans="1:10" ht="30" customHeight="1">
      <c r="A11" s="802"/>
      <c r="B11" s="802"/>
      <c r="C11" s="802"/>
      <c r="D11" s="819"/>
      <c r="E11" s="819"/>
      <c r="F11" s="821"/>
      <c r="G11" s="822"/>
      <c r="H11" s="349">
        <v>2</v>
      </c>
      <c r="I11" s="350" t="s">
        <v>971</v>
      </c>
    </row>
    <row r="12" spans="1:10" ht="21.75" customHeight="1">
      <c r="A12" s="802"/>
      <c r="B12" s="802"/>
      <c r="C12" s="802"/>
      <c r="D12" s="819"/>
      <c r="E12" s="819"/>
      <c r="F12" s="821"/>
      <c r="G12" s="822"/>
      <c r="H12" s="349">
        <v>3</v>
      </c>
      <c r="I12" s="350" t="s">
        <v>1085</v>
      </c>
    </row>
    <row r="13" spans="1:10" ht="69.75" customHeight="1">
      <c r="A13" s="802"/>
      <c r="B13" s="802"/>
      <c r="C13" s="802"/>
      <c r="D13" s="819"/>
      <c r="E13" s="819"/>
      <c r="F13" s="821"/>
      <c r="G13" s="822"/>
      <c r="H13" s="366">
        <v>4</v>
      </c>
      <c r="I13" s="350" t="s">
        <v>1086</v>
      </c>
    </row>
    <row r="14" spans="1:10" ht="42" customHeight="1">
      <c r="A14" s="802"/>
      <c r="B14" s="802"/>
      <c r="C14" s="802"/>
      <c r="D14" s="819"/>
      <c r="E14" s="819"/>
      <c r="F14" s="821" t="s">
        <v>649</v>
      </c>
      <c r="G14" s="822" t="s">
        <v>975</v>
      </c>
      <c r="H14" s="349">
        <v>1</v>
      </c>
      <c r="I14" s="367" t="s">
        <v>978</v>
      </c>
    </row>
    <row r="15" spans="1:10" ht="48" customHeight="1">
      <c r="A15" s="802"/>
      <c r="B15" s="802"/>
      <c r="C15" s="802"/>
      <c r="D15" s="819"/>
      <c r="E15" s="819"/>
      <c r="F15" s="821"/>
      <c r="G15" s="822"/>
      <c r="H15" s="349">
        <v>2</v>
      </c>
      <c r="I15" s="350" t="s">
        <v>979</v>
      </c>
    </row>
    <row r="16" spans="1:10" ht="36.75" customHeight="1">
      <c r="A16" s="802"/>
      <c r="B16" s="802"/>
      <c r="C16" s="802"/>
      <c r="D16" s="819"/>
      <c r="E16" s="819"/>
      <c r="F16" s="821"/>
      <c r="G16" s="822"/>
      <c r="H16" s="349">
        <v>3</v>
      </c>
      <c r="I16" s="350" t="s">
        <v>980</v>
      </c>
    </row>
    <row r="17" spans="1:9" ht="37.5" customHeight="1">
      <c r="A17" s="802"/>
      <c r="B17" s="802"/>
      <c r="C17" s="802"/>
      <c r="D17" s="819"/>
      <c r="E17" s="819"/>
      <c r="F17" s="821"/>
      <c r="G17" s="822"/>
      <c r="H17" s="349">
        <v>4</v>
      </c>
      <c r="I17" s="350" t="s">
        <v>1104</v>
      </c>
    </row>
    <row r="18" spans="1:9" ht="60" customHeight="1">
      <c r="A18" s="818" t="s">
        <v>712</v>
      </c>
      <c r="B18" s="818" t="s">
        <v>5</v>
      </c>
      <c r="C18" s="818" t="s">
        <v>675</v>
      </c>
      <c r="D18" s="820" t="s">
        <v>720</v>
      </c>
      <c r="E18" s="820" t="s">
        <v>576</v>
      </c>
      <c r="F18" s="378" t="s">
        <v>588</v>
      </c>
      <c r="G18" s="379" t="s">
        <v>590</v>
      </c>
      <c r="H18" s="346">
        <v>1</v>
      </c>
      <c r="I18" s="347" t="s">
        <v>759</v>
      </c>
    </row>
    <row r="19" spans="1:9" ht="46.5" customHeight="1">
      <c r="A19" s="818"/>
      <c r="B19" s="818"/>
      <c r="C19" s="818"/>
      <c r="D19" s="820"/>
      <c r="E19" s="820"/>
      <c r="F19" s="378" t="s">
        <v>589</v>
      </c>
      <c r="G19" s="379" t="s">
        <v>592</v>
      </c>
      <c r="H19" s="346">
        <v>1</v>
      </c>
      <c r="I19" s="347" t="s">
        <v>593</v>
      </c>
    </row>
    <row r="20" spans="1:9" ht="60" customHeight="1">
      <c r="A20" s="818"/>
      <c r="B20" s="818"/>
      <c r="C20" s="818"/>
      <c r="D20" s="820"/>
      <c r="E20" s="353" t="s">
        <v>633</v>
      </c>
      <c r="F20" s="378" t="s">
        <v>638</v>
      </c>
      <c r="G20" s="379" t="s">
        <v>569</v>
      </c>
      <c r="H20" s="346">
        <v>1</v>
      </c>
      <c r="I20" s="347" t="s">
        <v>570</v>
      </c>
    </row>
    <row r="21" spans="1:9" ht="43.5" customHeight="1">
      <c r="A21" s="818"/>
      <c r="B21" s="818"/>
      <c r="C21" s="818"/>
      <c r="D21" s="820"/>
      <c r="E21" s="820" t="s">
        <v>273</v>
      </c>
      <c r="F21" s="823" t="s">
        <v>648</v>
      </c>
      <c r="G21" s="824" t="s">
        <v>968</v>
      </c>
      <c r="H21" s="346">
        <v>1</v>
      </c>
      <c r="I21" s="347" t="s">
        <v>970</v>
      </c>
    </row>
    <row r="22" spans="1:9" ht="35.25" customHeight="1">
      <c r="A22" s="818"/>
      <c r="B22" s="818"/>
      <c r="C22" s="818"/>
      <c r="D22" s="820"/>
      <c r="E22" s="820"/>
      <c r="F22" s="823"/>
      <c r="G22" s="824"/>
      <c r="H22" s="346">
        <v>2</v>
      </c>
      <c r="I22" s="347" t="s">
        <v>971</v>
      </c>
    </row>
    <row r="23" spans="1:9" ht="29.25" customHeight="1">
      <c r="A23" s="818"/>
      <c r="B23" s="818"/>
      <c r="C23" s="818"/>
      <c r="D23" s="820"/>
      <c r="E23" s="820"/>
      <c r="F23" s="823"/>
      <c r="G23" s="824"/>
      <c r="H23" s="346">
        <v>3</v>
      </c>
      <c r="I23" s="347" t="s">
        <v>1085</v>
      </c>
    </row>
    <row r="24" spans="1:9" ht="70.5" customHeight="1">
      <c r="A24" s="818"/>
      <c r="B24" s="818"/>
      <c r="C24" s="818"/>
      <c r="D24" s="820"/>
      <c r="E24" s="820"/>
      <c r="F24" s="823"/>
      <c r="G24" s="824"/>
      <c r="H24" s="351">
        <v>4</v>
      </c>
      <c r="I24" s="347" t="s">
        <v>1086</v>
      </c>
    </row>
    <row r="25" spans="1:9" ht="45.75" customHeight="1">
      <c r="A25" s="818"/>
      <c r="B25" s="818"/>
      <c r="C25" s="818"/>
      <c r="D25" s="820"/>
      <c r="E25" s="820"/>
      <c r="F25" s="823" t="s">
        <v>649</v>
      </c>
      <c r="G25" s="824" t="s">
        <v>975</v>
      </c>
      <c r="H25" s="346">
        <v>1</v>
      </c>
      <c r="I25" s="361" t="s">
        <v>978</v>
      </c>
    </row>
    <row r="26" spans="1:9" ht="52.5" customHeight="1">
      <c r="A26" s="818"/>
      <c r="B26" s="818"/>
      <c r="C26" s="818"/>
      <c r="D26" s="820"/>
      <c r="E26" s="820"/>
      <c r="F26" s="823"/>
      <c r="G26" s="824"/>
      <c r="H26" s="346">
        <v>2</v>
      </c>
      <c r="I26" s="347" t="s">
        <v>979</v>
      </c>
    </row>
    <row r="27" spans="1:9" ht="30" customHeight="1">
      <c r="A27" s="818"/>
      <c r="B27" s="818"/>
      <c r="C27" s="818"/>
      <c r="D27" s="820"/>
      <c r="E27" s="820"/>
      <c r="F27" s="823"/>
      <c r="G27" s="824"/>
      <c r="H27" s="346">
        <v>3</v>
      </c>
      <c r="I27" s="347" t="s">
        <v>980</v>
      </c>
    </row>
    <row r="28" spans="1:9" ht="32.25" customHeight="1">
      <c r="A28" s="818"/>
      <c r="B28" s="818"/>
      <c r="C28" s="818"/>
      <c r="D28" s="820"/>
      <c r="E28" s="820"/>
      <c r="F28" s="823"/>
      <c r="G28" s="824"/>
      <c r="H28" s="346">
        <v>4</v>
      </c>
      <c r="I28" s="347" t="s">
        <v>1104</v>
      </c>
    </row>
    <row r="29" spans="1:9" ht="55.5" customHeight="1">
      <c r="A29" s="802" t="s">
        <v>712</v>
      </c>
      <c r="B29" s="802" t="s">
        <v>6</v>
      </c>
      <c r="C29" s="802" t="s">
        <v>676</v>
      </c>
      <c r="D29" s="819" t="s">
        <v>119</v>
      </c>
      <c r="E29" s="819" t="s">
        <v>576</v>
      </c>
      <c r="F29" s="364" t="s">
        <v>588</v>
      </c>
      <c r="G29" s="348" t="s">
        <v>590</v>
      </c>
      <c r="H29" s="349">
        <v>1</v>
      </c>
      <c r="I29" s="350" t="s">
        <v>759</v>
      </c>
    </row>
    <row r="30" spans="1:9" ht="44.25" customHeight="1">
      <c r="A30" s="802"/>
      <c r="B30" s="802"/>
      <c r="C30" s="802"/>
      <c r="D30" s="819"/>
      <c r="E30" s="819"/>
      <c r="F30" s="364" t="s">
        <v>589</v>
      </c>
      <c r="G30" s="348" t="s">
        <v>592</v>
      </c>
      <c r="H30" s="349">
        <v>1</v>
      </c>
      <c r="I30" s="350" t="s">
        <v>593</v>
      </c>
    </row>
    <row r="31" spans="1:9" ht="56.25" customHeight="1">
      <c r="A31" s="802"/>
      <c r="B31" s="802"/>
      <c r="C31" s="802"/>
      <c r="D31" s="819"/>
      <c r="E31" s="368" t="s">
        <v>633</v>
      </c>
      <c r="F31" s="364" t="s">
        <v>638</v>
      </c>
      <c r="G31" s="348" t="s">
        <v>569</v>
      </c>
      <c r="H31" s="349">
        <v>1</v>
      </c>
      <c r="I31" s="350" t="s">
        <v>570</v>
      </c>
    </row>
    <row r="32" spans="1:9" ht="41.25" customHeight="1">
      <c r="A32" s="802"/>
      <c r="B32" s="802"/>
      <c r="C32" s="802"/>
      <c r="D32" s="819"/>
      <c r="E32" s="819" t="s">
        <v>273</v>
      </c>
      <c r="F32" s="821" t="s">
        <v>648</v>
      </c>
      <c r="G32" s="822" t="s">
        <v>968</v>
      </c>
      <c r="H32" s="349">
        <v>1</v>
      </c>
      <c r="I32" s="350" t="s">
        <v>970</v>
      </c>
    </row>
    <row r="33" spans="1:9" ht="32.25" customHeight="1">
      <c r="A33" s="802"/>
      <c r="B33" s="802"/>
      <c r="C33" s="802"/>
      <c r="D33" s="819"/>
      <c r="E33" s="819"/>
      <c r="F33" s="821"/>
      <c r="G33" s="822"/>
      <c r="H33" s="349">
        <v>2</v>
      </c>
      <c r="I33" s="350" t="s">
        <v>971</v>
      </c>
    </row>
    <row r="34" spans="1:9" ht="30.75" customHeight="1">
      <c r="A34" s="802"/>
      <c r="B34" s="802"/>
      <c r="C34" s="802"/>
      <c r="D34" s="819"/>
      <c r="E34" s="819"/>
      <c r="F34" s="821"/>
      <c r="G34" s="822"/>
      <c r="H34" s="349">
        <v>3</v>
      </c>
      <c r="I34" s="350" t="s">
        <v>1085</v>
      </c>
    </row>
    <row r="35" spans="1:9" ht="69.75" customHeight="1">
      <c r="A35" s="802"/>
      <c r="B35" s="802"/>
      <c r="C35" s="802"/>
      <c r="D35" s="819"/>
      <c r="E35" s="819"/>
      <c r="F35" s="821"/>
      <c r="G35" s="822"/>
      <c r="H35" s="366">
        <v>4</v>
      </c>
      <c r="I35" s="350" t="s">
        <v>1086</v>
      </c>
    </row>
    <row r="36" spans="1:9" ht="40.5" customHeight="1">
      <c r="A36" s="802"/>
      <c r="B36" s="802"/>
      <c r="C36" s="802"/>
      <c r="D36" s="819"/>
      <c r="E36" s="819"/>
      <c r="F36" s="821" t="s">
        <v>649</v>
      </c>
      <c r="G36" s="822" t="s">
        <v>975</v>
      </c>
      <c r="H36" s="349">
        <v>1</v>
      </c>
      <c r="I36" s="367" t="s">
        <v>978</v>
      </c>
    </row>
    <row r="37" spans="1:9" ht="46.5" customHeight="1">
      <c r="A37" s="802"/>
      <c r="B37" s="802"/>
      <c r="C37" s="802"/>
      <c r="D37" s="819"/>
      <c r="E37" s="819"/>
      <c r="F37" s="821"/>
      <c r="G37" s="822"/>
      <c r="H37" s="349">
        <v>2</v>
      </c>
      <c r="I37" s="350" t="s">
        <v>979</v>
      </c>
    </row>
    <row r="38" spans="1:9" ht="30" customHeight="1">
      <c r="A38" s="802"/>
      <c r="B38" s="802"/>
      <c r="C38" s="802"/>
      <c r="D38" s="819"/>
      <c r="E38" s="819"/>
      <c r="F38" s="821"/>
      <c r="G38" s="822"/>
      <c r="H38" s="349">
        <v>3</v>
      </c>
      <c r="I38" s="350" t="s">
        <v>980</v>
      </c>
    </row>
    <row r="39" spans="1:9" ht="31.5" customHeight="1">
      <c r="A39" s="802"/>
      <c r="B39" s="802"/>
      <c r="C39" s="802"/>
      <c r="D39" s="819"/>
      <c r="E39" s="819"/>
      <c r="F39" s="821"/>
      <c r="G39" s="822"/>
      <c r="H39" s="349">
        <v>4</v>
      </c>
      <c r="I39" s="350" t="s">
        <v>1104</v>
      </c>
    </row>
    <row r="40" spans="1:9" ht="76.5" customHeight="1">
      <c r="A40" s="352" t="s">
        <v>712</v>
      </c>
      <c r="B40" s="352" t="s">
        <v>7</v>
      </c>
      <c r="C40" s="352" t="s">
        <v>676</v>
      </c>
      <c r="D40" s="353" t="s">
        <v>120</v>
      </c>
      <c r="E40" s="353" t="s">
        <v>576</v>
      </c>
      <c r="F40" s="378" t="s">
        <v>589</v>
      </c>
      <c r="G40" s="379" t="s">
        <v>592</v>
      </c>
      <c r="H40" s="346">
        <v>1</v>
      </c>
      <c r="I40" s="347" t="s">
        <v>593</v>
      </c>
    </row>
    <row r="41" spans="1:9" ht="84.75" customHeight="1">
      <c r="A41" s="369" t="s">
        <v>712</v>
      </c>
      <c r="B41" s="369" t="s">
        <v>8</v>
      </c>
      <c r="C41" s="369" t="s">
        <v>677</v>
      </c>
      <c r="D41" s="368" t="s">
        <v>121</v>
      </c>
      <c r="E41" s="368" t="s">
        <v>252</v>
      </c>
      <c r="F41" s="364" t="s">
        <v>616</v>
      </c>
      <c r="G41" s="357" t="s">
        <v>617</v>
      </c>
      <c r="H41" s="360">
        <v>1</v>
      </c>
      <c r="I41" s="350" t="s">
        <v>529</v>
      </c>
    </row>
    <row r="42" spans="1:9" ht="83.25" customHeight="1">
      <c r="A42" s="352" t="s">
        <v>712</v>
      </c>
      <c r="B42" s="352" t="s">
        <v>665</v>
      </c>
      <c r="C42" s="352" t="s">
        <v>678</v>
      </c>
      <c r="D42" s="353" t="s">
        <v>721</v>
      </c>
      <c r="E42" s="353" t="s">
        <v>252</v>
      </c>
      <c r="F42" s="378" t="s">
        <v>616</v>
      </c>
      <c r="G42" s="382" t="s">
        <v>617</v>
      </c>
      <c r="H42" s="358">
        <v>1</v>
      </c>
      <c r="I42" s="347" t="s">
        <v>529</v>
      </c>
    </row>
    <row r="43" spans="1:9" ht="114.75">
      <c r="A43" s="369" t="s">
        <v>712</v>
      </c>
      <c r="B43" s="369" t="s">
        <v>9</v>
      </c>
      <c r="C43" s="369" t="s">
        <v>935</v>
      </c>
      <c r="D43" s="368" t="s">
        <v>722</v>
      </c>
      <c r="E43" s="368" t="s">
        <v>574</v>
      </c>
      <c r="F43" s="368" t="s">
        <v>652</v>
      </c>
      <c r="G43" s="369" t="s">
        <v>709</v>
      </c>
      <c r="H43" s="368">
        <v>1</v>
      </c>
      <c r="I43" s="369" t="s">
        <v>1007</v>
      </c>
    </row>
    <row r="44" spans="1:9" ht="114.75">
      <c r="A44" s="352" t="s">
        <v>712</v>
      </c>
      <c r="B44" s="352" t="s">
        <v>10</v>
      </c>
      <c r="C44" s="352" t="s">
        <v>680</v>
      </c>
      <c r="D44" s="353" t="s">
        <v>122</v>
      </c>
      <c r="E44" s="380" t="s">
        <v>574</v>
      </c>
      <c r="F44" s="353" t="s">
        <v>652</v>
      </c>
      <c r="G44" s="352" t="s">
        <v>709</v>
      </c>
      <c r="H44" s="353">
        <v>1</v>
      </c>
      <c r="I44" s="352" t="s">
        <v>1007</v>
      </c>
    </row>
    <row r="45" spans="1:9" ht="114.75">
      <c r="A45" s="369" t="s">
        <v>712</v>
      </c>
      <c r="B45" s="369" t="s">
        <v>314</v>
      </c>
      <c r="C45" s="369" t="s">
        <v>680</v>
      </c>
      <c r="D45" s="368" t="s">
        <v>123</v>
      </c>
      <c r="E45" s="370" t="s">
        <v>574</v>
      </c>
      <c r="F45" s="368" t="s">
        <v>652</v>
      </c>
      <c r="G45" s="369" t="s">
        <v>709</v>
      </c>
      <c r="H45" s="368">
        <v>1</v>
      </c>
      <c r="I45" s="369" t="s">
        <v>1007</v>
      </c>
    </row>
    <row r="46" spans="1:9" ht="114.75">
      <c r="A46" s="818" t="s">
        <v>712</v>
      </c>
      <c r="B46" s="818" t="s">
        <v>666</v>
      </c>
      <c r="C46" s="818" t="s">
        <v>679</v>
      </c>
      <c r="D46" s="820" t="s">
        <v>723</v>
      </c>
      <c r="E46" s="820" t="s">
        <v>574</v>
      </c>
      <c r="F46" s="353" t="s">
        <v>652</v>
      </c>
      <c r="G46" s="352" t="s">
        <v>709</v>
      </c>
      <c r="H46" s="353">
        <v>1</v>
      </c>
      <c r="I46" s="352" t="s">
        <v>1007</v>
      </c>
    </row>
    <row r="47" spans="1:9" ht="99" customHeight="1">
      <c r="A47" s="818"/>
      <c r="B47" s="818"/>
      <c r="C47" s="818"/>
      <c r="D47" s="820"/>
      <c r="E47" s="820"/>
      <c r="F47" s="378" t="s">
        <v>656</v>
      </c>
      <c r="G47" s="379" t="s">
        <v>710</v>
      </c>
      <c r="H47" s="346">
        <v>1</v>
      </c>
      <c r="I47" s="347" t="s">
        <v>510</v>
      </c>
    </row>
    <row r="48" spans="1:9" ht="156" customHeight="1">
      <c r="A48" s="369" t="s">
        <v>712</v>
      </c>
      <c r="B48" s="369" t="s">
        <v>11</v>
      </c>
      <c r="C48" s="369" t="s">
        <v>936</v>
      </c>
      <c r="D48" s="368" t="s">
        <v>124</v>
      </c>
      <c r="E48" s="368" t="s">
        <v>633</v>
      </c>
      <c r="F48" s="364" t="s">
        <v>641</v>
      </c>
      <c r="G48" s="348" t="s">
        <v>642</v>
      </c>
      <c r="H48" s="349">
        <v>1</v>
      </c>
      <c r="I48" s="350" t="s">
        <v>560</v>
      </c>
    </row>
    <row r="49" spans="1:9" ht="63.75">
      <c r="A49" s="818" t="s">
        <v>712</v>
      </c>
      <c r="B49" s="818" t="s">
        <v>667</v>
      </c>
      <c r="C49" s="818" t="s">
        <v>937</v>
      </c>
      <c r="D49" s="820" t="s">
        <v>724</v>
      </c>
      <c r="E49" s="820" t="s">
        <v>573</v>
      </c>
      <c r="F49" s="351" t="s">
        <v>626</v>
      </c>
      <c r="G49" s="361" t="s">
        <v>779</v>
      </c>
      <c r="H49" s="351">
        <v>1</v>
      </c>
      <c r="I49" s="352" t="s">
        <v>618</v>
      </c>
    </row>
    <row r="50" spans="1:9" ht="33.75" customHeight="1">
      <c r="A50" s="818"/>
      <c r="B50" s="818"/>
      <c r="C50" s="818"/>
      <c r="D50" s="820"/>
      <c r="E50" s="820"/>
      <c r="F50" s="823" t="s">
        <v>628</v>
      </c>
      <c r="G50" s="824" t="s">
        <v>711</v>
      </c>
      <c r="H50" s="346">
        <v>1</v>
      </c>
      <c r="I50" s="347" t="s">
        <v>622</v>
      </c>
    </row>
    <row r="51" spans="1:9" ht="33.75" customHeight="1">
      <c r="A51" s="818"/>
      <c r="B51" s="818"/>
      <c r="C51" s="818"/>
      <c r="D51" s="820"/>
      <c r="E51" s="820"/>
      <c r="F51" s="823"/>
      <c r="G51" s="824"/>
      <c r="H51" s="346">
        <v>2</v>
      </c>
      <c r="I51" s="347" t="s">
        <v>795</v>
      </c>
    </row>
    <row r="52" spans="1:9" ht="66.75" customHeight="1">
      <c r="A52" s="818"/>
      <c r="B52" s="818"/>
      <c r="C52" s="818"/>
      <c r="D52" s="820"/>
      <c r="E52" s="820"/>
      <c r="F52" s="820" t="s">
        <v>630</v>
      </c>
      <c r="G52" s="818" t="s">
        <v>631</v>
      </c>
      <c r="H52" s="353">
        <v>1</v>
      </c>
      <c r="I52" s="352" t="s">
        <v>806</v>
      </c>
    </row>
    <row r="53" spans="1:9" ht="67.5" customHeight="1">
      <c r="A53" s="818"/>
      <c r="B53" s="818"/>
      <c r="C53" s="818"/>
      <c r="D53" s="820"/>
      <c r="E53" s="820"/>
      <c r="F53" s="820"/>
      <c r="G53" s="818"/>
      <c r="H53" s="353">
        <v>2</v>
      </c>
      <c r="I53" s="352" t="s">
        <v>1137</v>
      </c>
    </row>
    <row r="54" spans="1:9" ht="27" customHeight="1">
      <c r="A54" s="802" t="s">
        <v>712</v>
      </c>
      <c r="B54" s="802" t="s">
        <v>12</v>
      </c>
      <c r="C54" s="802" t="s">
        <v>681</v>
      </c>
      <c r="D54" s="819" t="s">
        <v>725</v>
      </c>
      <c r="E54" s="819" t="s">
        <v>576</v>
      </c>
      <c r="F54" s="821" t="s">
        <v>591</v>
      </c>
      <c r="G54" s="822" t="s">
        <v>760</v>
      </c>
      <c r="H54" s="349">
        <v>1</v>
      </c>
      <c r="I54" s="350" t="s">
        <v>565</v>
      </c>
    </row>
    <row r="55" spans="1:9" ht="27" customHeight="1">
      <c r="A55" s="802"/>
      <c r="B55" s="802"/>
      <c r="C55" s="802"/>
      <c r="D55" s="819"/>
      <c r="E55" s="819"/>
      <c r="F55" s="821"/>
      <c r="G55" s="822"/>
      <c r="H55" s="349">
        <v>2</v>
      </c>
      <c r="I55" s="350" t="s">
        <v>559</v>
      </c>
    </row>
    <row r="56" spans="1:9" ht="42" customHeight="1">
      <c r="A56" s="802"/>
      <c r="B56" s="802"/>
      <c r="C56" s="802"/>
      <c r="D56" s="819"/>
      <c r="E56" s="819" t="s">
        <v>575</v>
      </c>
      <c r="F56" s="821" t="s">
        <v>600</v>
      </c>
      <c r="G56" s="822" t="s">
        <v>804</v>
      </c>
      <c r="H56" s="349">
        <v>1</v>
      </c>
      <c r="I56" s="350" t="s">
        <v>601</v>
      </c>
    </row>
    <row r="57" spans="1:9" ht="59.25" customHeight="1">
      <c r="A57" s="802"/>
      <c r="B57" s="802"/>
      <c r="C57" s="802"/>
      <c r="D57" s="819"/>
      <c r="E57" s="819"/>
      <c r="F57" s="821"/>
      <c r="G57" s="822"/>
      <c r="H57" s="349">
        <v>2</v>
      </c>
      <c r="I57" s="350" t="s">
        <v>602</v>
      </c>
    </row>
    <row r="58" spans="1:9" ht="29.25" customHeight="1">
      <c r="A58" s="802"/>
      <c r="B58" s="802"/>
      <c r="C58" s="802"/>
      <c r="D58" s="819"/>
      <c r="E58" s="819"/>
      <c r="F58" s="821"/>
      <c r="G58" s="822"/>
      <c r="H58" s="349">
        <v>3</v>
      </c>
      <c r="I58" s="350" t="s">
        <v>603</v>
      </c>
    </row>
    <row r="59" spans="1:9" ht="46.5" customHeight="1">
      <c r="A59" s="802"/>
      <c r="B59" s="802"/>
      <c r="C59" s="802"/>
      <c r="D59" s="819"/>
      <c r="E59" s="819"/>
      <c r="F59" s="819" t="s">
        <v>604</v>
      </c>
      <c r="G59" s="822" t="s">
        <v>609</v>
      </c>
      <c r="H59" s="349">
        <v>1</v>
      </c>
      <c r="I59" s="350" t="s">
        <v>748</v>
      </c>
    </row>
    <row r="60" spans="1:9" ht="44.25" customHeight="1">
      <c r="A60" s="802"/>
      <c r="B60" s="802"/>
      <c r="C60" s="802"/>
      <c r="D60" s="819"/>
      <c r="E60" s="819"/>
      <c r="F60" s="819"/>
      <c r="G60" s="822"/>
      <c r="H60" s="349">
        <v>2</v>
      </c>
      <c r="I60" s="350" t="s">
        <v>867</v>
      </c>
    </row>
    <row r="61" spans="1:9" ht="75.75" customHeight="1">
      <c r="A61" s="802"/>
      <c r="B61" s="802"/>
      <c r="C61" s="802"/>
      <c r="D61" s="819"/>
      <c r="E61" s="819"/>
      <c r="F61" s="821" t="s">
        <v>605</v>
      </c>
      <c r="G61" s="822" t="s">
        <v>621</v>
      </c>
      <c r="H61" s="349">
        <v>1</v>
      </c>
      <c r="I61" s="350" t="s">
        <v>1029</v>
      </c>
    </row>
    <row r="62" spans="1:9" ht="33" customHeight="1">
      <c r="A62" s="802"/>
      <c r="B62" s="802"/>
      <c r="C62" s="802"/>
      <c r="D62" s="819"/>
      <c r="E62" s="819"/>
      <c r="F62" s="821"/>
      <c r="G62" s="822"/>
      <c r="H62" s="349">
        <v>2</v>
      </c>
      <c r="I62" s="350" t="s">
        <v>1030</v>
      </c>
    </row>
    <row r="63" spans="1:9" ht="56.25" customHeight="1">
      <c r="A63" s="818" t="s">
        <v>713</v>
      </c>
      <c r="B63" s="818" t="s">
        <v>37</v>
      </c>
      <c r="C63" s="818" t="s">
        <v>682</v>
      </c>
      <c r="D63" s="820" t="s">
        <v>126</v>
      </c>
      <c r="E63" s="820" t="s">
        <v>576</v>
      </c>
      <c r="F63" s="378" t="s">
        <v>580</v>
      </c>
      <c r="G63" s="379" t="s">
        <v>579</v>
      </c>
      <c r="H63" s="346">
        <v>3</v>
      </c>
      <c r="I63" s="347" t="s">
        <v>1021</v>
      </c>
    </row>
    <row r="64" spans="1:9" ht="63" customHeight="1">
      <c r="A64" s="818"/>
      <c r="B64" s="818"/>
      <c r="C64" s="818"/>
      <c r="D64" s="820"/>
      <c r="E64" s="820"/>
      <c r="F64" s="823" t="s">
        <v>586</v>
      </c>
      <c r="G64" s="824" t="s">
        <v>961</v>
      </c>
      <c r="H64" s="346">
        <v>1</v>
      </c>
      <c r="I64" s="347" t="s">
        <v>558</v>
      </c>
    </row>
    <row r="65" spans="1:9" ht="84.75" customHeight="1">
      <c r="A65" s="818"/>
      <c r="B65" s="818"/>
      <c r="C65" s="818"/>
      <c r="D65" s="820"/>
      <c r="E65" s="820"/>
      <c r="F65" s="823"/>
      <c r="G65" s="824"/>
      <c r="H65" s="346">
        <v>2</v>
      </c>
      <c r="I65" s="347" t="s">
        <v>1105</v>
      </c>
    </row>
    <row r="66" spans="1:9" ht="109.5" customHeight="1">
      <c r="A66" s="369" t="s">
        <v>713</v>
      </c>
      <c r="B66" s="369" t="s">
        <v>668</v>
      </c>
      <c r="C66" s="369" t="s">
        <v>938</v>
      </c>
      <c r="D66" s="368" t="s">
        <v>726</v>
      </c>
      <c r="E66" s="368" t="s">
        <v>573</v>
      </c>
      <c r="F66" s="371" t="s">
        <v>630</v>
      </c>
      <c r="G66" s="348" t="s">
        <v>631</v>
      </c>
      <c r="H66" s="373">
        <v>2</v>
      </c>
      <c r="I66" s="348" t="s">
        <v>1038</v>
      </c>
    </row>
    <row r="67" spans="1:9" ht="76.5" customHeight="1">
      <c r="A67" s="352" t="s">
        <v>713</v>
      </c>
      <c r="B67" s="352" t="s">
        <v>416</v>
      </c>
      <c r="C67" s="352" t="s">
        <v>683</v>
      </c>
      <c r="D67" s="353" t="s">
        <v>128</v>
      </c>
      <c r="E67" s="353" t="s">
        <v>633</v>
      </c>
      <c r="F67" s="378" t="s">
        <v>634</v>
      </c>
      <c r="G67" s="379" t="s">
        <v>998</v>
      </c>
      <c r="H67" s="346">
        <v>1</v>
      </c>
      <c r="I67" s="347" t="s">
        <v>993</v>
      </c>
    </row>
    <row r="68" spans="1:9" ht="114.75">
      <c r="A68" s="369" t="s">
        <v>713</v>
      </c>
      <c r="B68" s="369" t="s">
        <v>225</v>
      </c>
      <c r="C68" s="369" t="s">
        <v>684</v>
      </c>
      <c r="D68" s="368" t="s">
        <v>129</v>
      </c>
      <c r="E68" s="368" t="s">
        <v>633</v>
      </c>
      <c r="F68" s="364" t="s">
        <v>636</v>
      </c>
      <c r="G68" s="348" t="s">
        <v>870</v>
      </c>
      <c r="H68" s="349">
        <v>1</v>
      </c>
      <c r="I68" s="350" t="s">
        <v>639</v>
      </c>
    </row>
    <row r="69" spans="1:9" ht="58.5" customHeight="1">
      <c r="A69" s="818" t="s">
        <v>713</v>
      </c>
      <c r="B69" s="818" t="s">
        <v>47</v>
      </c>
      <c r="C69" s="818" t="s">
        <v>685</v>
      </c>
      <c r="D69" s="820" t="s">
        <v>131</v>
      </c>
      <c r="E69" s="820" t="s">
        <v>573</v>
      </c>
      <c r="F69" s="842" t="s">
        <v>626</v>
      </c>
      <c r="G69" s="843" t="s">
        <v>624</v>
      </c>
      <c r="H69" s="351">
        <v>1</v>
      </c>
      <c r="I69" s="352" t="s">
        <v>618</v>
      </c>
    </row>
    <row r="70" spans="1:9" ht="47.25" customHeight="1">
      <c r="A70" s="818"/>
      <c r="B70" s="818"/>
      <c r="C70" s="818"/>
      <c r="D70" s="820"/>
      <c r="E70" s="820"/>
      <c r="F70" s="842"/>
      <c r="G70" s="843"/>
      <c r="H70" s="353">
        <v>2</v>
      </c>
      <c r="I70" s="352" t="s">
        <v>619</v>
      </c>
    </row>
    <row r="71" spans="1:9" ht="63" customHeight="1">
      <c r="A71" s="818"/>
      <c r="B71" s="818"/>
      <c r="C71" s="818"/>
      <c r="D71" s="820"/>
      <c r="E71" s="820"/>
      <c r="F71" s="378" t="s">
        <v>629</v>
      </c>
      <c r="G71" s="379" t="s">
        <v>623</v>
      </c>
      <c r="H71" s="346">
        <v>1</v>
      </c>
      <c r="I71" s="347" t="s">
        <v>781</v>
      </c>
    </row>
    <row r="72" spans="1:9" ht="72.75" customHeight="1">
      <c r="A72" s="818"/>
      <c r="B72" s="818"/>
      <c r="C72" s="818"/>
      <c r="D72" s="820"/>
      <c r="E72" s="820"/>
      <c r="F72" s="353" t="s">
        <v>630</v>
      </c>
      <c r="G72" s="361" t="s">
        <v>631</v>
      </c>
      <c r="H72" s="353">
        <v>1</v>
      </c>
      <c r="I72" s="352" t="s">
        <v>806</v>
      </c>
    </row>
    <row r="73" spans="1:9" ht="49.5" customHeight="1">
      <c r="A73" s="818"/>
      <c r="B73" s="818"/>
      <c r="C73" s="818"/>
      <c r="D73" s="820"/>
      <c r="E73" s="820"/>
      <c r="F73" s="378" t="s">
        <v>632</v>
      </c>
      <c r="G73" s="379" t="s">
        <v>1125</v>
      </c>
      <c r="H73" s="346">
        <v>1</v>
      </c>
      <c r="I73" s="386" t="s">
        <v>1051</v>
      </c>
    </row>
    <row r="74" spans="1:9" ht="51" customHeight="1">
      <c r="A74" s="802" t="s">
        <v>714</v>
      </c>
      <c r="B74" s="802" t="s">
        <v>669</v>
      </c>
      <c r="C74" s="802" t="s">
        <v>686</v>
      </c>
      <c r="D74" s="819" t="s">
        <v>727</v>
      </c>
      <c r="E74" s="819" t="s">
        <v>574</v>
      </c>
      <c r="F74" s="364" t="s">
        <v>653</v>
      </c>
      <c r="G74" s="348" t="s">
        <v>799</v>
      </c>
      <c r="H74" s="349">
        <v>1</v>
      </c>
      <c r="I74" s="350" t="s">
        <v>798</v>
      </c>
    </row>
    <row r="75" spans="1:9" ht="51" customHeight="1">
      <c r="A75" s="802"/>
      <c r="B75" s="802"/>
      <c r="C75" s="802"/>
      <c r="D75" s="819"/>
      <c r="E75" s="819"/>
      <c r="F75" s="364" t="s">
        <v>654</v>
      </c>
      <c r="G75" s="348" t="s">
        <v>860</v>
      </c>
      <c r="H75" s="349">
        <v>1</v>
      </c>
      <c r="I75" s="350" t="s">
        <v>800</v>
      </c>
    </row>
    <row r="76" spans="1:9" ht="110.25" customHeight="1">
      <c r="A76" s="352" t="s">
        <v>714</v>
      </c>
      <c r="B76" s="352" t="s">
        <v>670</v>
      </c>
      <c r="C76" s="352" t="s">
        <v>687</v>
      </c>
      <c r="D76" s="353" t="s">
        <v>728</v>
      </c>
      <c r="E76" s="353" t="s">
        <v>252</v>
      </c>
      <c r="F76" s="351" t="s">
        <v>615</v>
      </c>
      <c r="G76" s="361" t="s">
        <v>1062</v>
      </c>
      <c r="H76" s="351">
        <v>1</v>
      </c>
      <c r="I76" s="361" t="s">
        <v>771</v>
      </c>
    </row>
    <row r="77" spans="1:9" ht="58.5" customHeight="1">
      <c r="A77" s="802" t="s">
        <v>714</v>
      </c>
      <c r="B77" s="802" t="s">
        <v>58</v>
      </c>
      <c r="C77" s="802" t="s">
        <v>688</v>
      </c>
      <c r="D77" s="819" t="s">
        <v>132</v>
      </c>
      <c r="E77" s="819" t="s">
        <v>252</v>
      </c>
      <c r="F77" s="825" t="s">
        <v>611</v>
      </c>
      <c r="G77" s="836" t="s">
        <v>1060</v>
      </c>
      <c r="H77" s="349">
        <v>1</v>
      </c>
      <c r="I77" s="350" t="s">
        <v>1018</v>
      </c>
    </row>
    <row r="78" spans="1:9" ht="66" customHeight="1">
      <c r="A78" s="802"/>
      <c r="B78" s="802"/>
      <c r="C78" s="802"/>
      <c r="D78" s="819"/>
      <c r="E78" s="819"/>
      <c r="F78" s="825"/>
      <c r="G78" s="836"/>
      <c r="H78" s="349">
        <v>2</v>
      </c>
      <c r="I78" s="350" t="s">
        <v>1061</v>
      </c>
    </row>
    <row r="79" spans="1:9" ht="45.75" customHeight="1">
      <c r="A79" s="802"/>
      <c r="B79" s="802"/>
      <c r="C79" s="802"/>
      <c r="D79" s="819"/>
      <c r="E79" s="819"/>
      <c r="F79" s="364" t="s">
        <v>613</v>
      </c>
      <c r="G79" s="348" t="s">
        <v>769</v>
      </c>
      <c r="H79" s="360">
        <v>1</v>
      </c>
      <c r="I79" s="350" t="s">
        <v>1108</v>
      </c>
    </row>
    <row r="80" spans="1:9" ht="72" customHeight="1">
      <c r="A80" s="802"/>
      <c r="B80" s="802"/>
      <c r="C80" s="802"/>
      <c r="D80" s="819"/>
      <c r="E80" s="819"/>
      <c r="F80" s="364" t="s">
        <v>614</v>
      </c>
      <c r="G80" s="357" t="s">
        <v>808</v>
      </c>
      <c r="H80" s="360">
        <v>1</v>
      </c>
      <c r="I80" s="374" t="s">
        <v>833</v>
      </c>
    </row>
    <row r="81" spans="1:9" ht="111.75" customHeight="1">
      <c r="A81" s="802"/>
      <c r="B81" s="802"/>
      <c r="C81" s="802"/>
      <c r="D81" s="819"/>
      <c r="E81" s="819"/>
      <c r="F81" s="366" t="s">
        <v>615</v>
      </c>
      <c r="G81" s="367" t="s">
        <v>1062</v>
      </c>
      <c r="H81" s="366">
        <v>1</v>
      </c>
      <c r="I81" s="367" t="s">
        <v>771</v>
      </c>
    </row>
    <row r="82" spans="1:9" ht="117" customHeight="1">
      <c r="A82" s="352" t="s">
        <v>714</v>
      </c>
      <c r="B82" s="352" t="s">
        <v>671</v>
      </c>
      <c r="C82" s="352" t="s">
        <v>689</v>
      </c>
      <c r="D82" s="353" t="s">
        <v>729</v>
      </c>
      <c r="E82" s="353" t="s">
        <v>252</v>
      </c>
      <c r="F82" s="351" t="s">
        <v>611</v>
      </c>
      <c r="G82" s="361" t="s">
        <v>1060</v>
      </c>
      <c r="H82" s="351">
        <v>3</v>
      </c>
      <c r="I82" s="381" t="s">
        <v>1019</v>
      </c>
    </row>
    <row r="83" spans="1:9" ht="102">
      <c r="A83" s="369" t="s">
        <v>714</v>
      </c>
      <c r="B83" s="369" t="s">
        <v>664</v>
      </c>
      <c r="C83" s="369" t="s">
        <v>690</v>
      </c>
      <c r="D83" s="368" t="s">
        <v>134</v>
      </c>
      <c r="E83" s="368" t="s">
        <v>252</v>
      </c>
      <c r="F83" s="366" t="s">
        <v>616</v>
      </c>
      <c r="G83" s="367" t="s">
        <v>1141</v>
      </c>
      <c r="H83" s="368">
        <v>1</v>
      </c>
      <c r="I83" s="369" t="s">
        <v>529</v>
      </c>
    </row>
    <row r="84" spans="1:9" ht="114" customHeight="1">
      <c r="A84" s="818" t="s">
        <v>714</v>
      </c>
      <c r="B84" s="818" t="s">
        <v>68</v>
      </c>
      <c r="C84" s="818" t="s">
        <v>691</v>
      </c>
      <c r="D84" s="820" t="s">
        <v>136</v>
      </c>
      <c r="E84" s="820" t="s">
        <v>252</v>
      </c>
      <c r="F84" s="351" t="s">
        <v>611</v>
      </c>
      <c r="G84" s="361" t="s">
        <v>1060</v>
      </c>
      <c r="H84" s="351">
        <v>3</v>
      </c>
      <c r="I84" s="361" t="s">
        <v>1019</v>
      </c>
    </row>
    <row r="85" spans="1:9" ht="67.5" customHeight="1">
      <c r="A85" s="818"/>
      <c r="B85" s="818"/>
      <c r="C85" s="818"/>
      <c r="D85" s="820"/>
      <c r="E85" s="820"/>
      <c r="F85" s="378" t="s">
        <v>612</v>
      </c>
      <c r="G85" s="382" t="s">
        <v>567</v>
      </c>
      <c r="H85" s="358">
        <v>1</v>
      </c>
      <c r="I85" s="347" t="s">
        <v>568</v>
      </c>
    </row>
    <row r="86" spans="1:9" ht="43.5" customHeight="1">
      <c r="A86" s="818"/>
      <c r="B86" s="818"/>
      <c r="C86" s="818"/>
      <c r="D86" s="820"/>
      <c r="E86" s="353" t="s">
        <v>273</v>
      </c>
      <c r="F86" s="378" t="s">
        <v>651</v>
      </c>
      <c r="G86" s="379" t="s">
        <v>658</v>
      </c>
      <c r="H86" s="346">
        <v>1</v>
      </c>
      <c r="I86" s="347" t="s">
        <v>796</v>
      </c>
    </row>
    <row r="87" spans="1:9" ht="39.75" customHeight="1">
      <c r="A87" s="802" t="s">
        <v>714</v>
      </c>
      <c r="B87" s="802" t="s">
        <v>298</v>
      </c>
      <c r="C87" s="802" t="s">
        <v>692</v>
      </c>
      <c r="D87" s="819" t="s">
        <v>138</v>
      </c>
      <c r="E87" s="819" t="s">
        <v>576</v>
      </c>
      <c r="F87" s="821" t="s">
        <v>591</v>
      </c>
      <c r="G87" s="822" t="s">
        <v>760</v>
      </c>
      <c r="H87" s="349">
        <v>1</v>
      </c>
      <c r="I87" s="350" t="s">
        <v>565</v>
      </c>
    </row>
    <row r="88" spans="1:9" ht="39.75" customHeight="1">
      <c r="A88" s="802"/>
      <c r="B88" s="802"/>
      <c r="C88" s="802"/>
      <c r="D88" s="819"/>
      <c r="E88" s="819"/>
      <c r="F88" s="821"/>
      <c r="G88" s="822"/>
      <c r="H88" s="349">
        <v>2</v>
      </c>
      <c r="I88" s="350" t="s">
        <v>559</v>
      </c>
    </row>
    <row r="89" spans="1:9" ht="30.75" customHeight="1">
      <c r="A89" s="818" t="s">
        <v>715</v>
      </c>
      <c r="B89" s="818" t="s">
        <v>76</v>
      </c>
      <c r="C89" s="818" t="s">
        <v>693</v>
      </c>
      <c r="D89" s="820" t="s">
        <v>730</v>
      </c>
      <c r="E89" s="815" t="s">
        <v>273</v>
      </c>
      <c r="F89" s="823" t="s">
        <v>647</v>
      </c>
      <c r="G89" s="824" t="s">
        <v>981</v>
      </c>
      <c r="H89" s="346">
        <v>1</v>
      </c>
      <c r="I89" s="347" t="s">
        <v>794</v>
      </c>
    </row>
    <row r="90" spans="1:9" ht="32.25" customHeight="1">
      <c r="A90" s="818"/>
      <c r="B90" s="818"/>
      <c r="C90" s="818"/>
      <c r="D90" s="820"/>
      <c r="E90" s="816"/>
      <c r="F90" s="823"/>
      <c r="G90" s="824"/>
      <c r="H90" s="346">
        <v>2</v>
      </c>
      <c r="I90" s="347" t="s">
        <v>985</v>
      </c>
    </row>
    <row r="91" spans="1:9" ht="45.75" customHeight="1">
      <c r="A91" s="818"/>
      <c r="B91" s="818"/>
      <c r="C91" s="818"/>
      <c r="D91" s="820"/>
      <c r="E91" s="816"/>
      <c r="F91" s="823"/>
      <c r="G91" s="824"/>
      <c r="H91" s="346">
        <v>3</v>
      </c>
      <c r="I91" s="347" t="s">
        <v>987</v>
      </c>
    </row>
    <row r="92" spans="1:9" ht="33.75" customHeight="1">
      <c r="A92" s="818"/>
      <c r="B92" s="818"/>
      <c r="C92" s="818"/>
      <c r="D92" s="820"/>
      <c r="E92" s="816"/>
      <c r="F92" s="823"/>
      <c r="G92" s="824"/>
      <c r="H92" s="351">
        <v>4</v>
      </c>
      <c r="I92" s="352" t="s">
        <v>988</v>
      </c>
    </row>
    <row r="93" spans="1:9" ht="42.75" customHeight="1">
      <c r="A93" s="818"/>
      <c r="B93" s="818"/>
      <c r="C93" s="818"/>
      <c r="D93" s="820"/>
      <c r="E93" s="816"/>
      <c r="F93" s="823" t="s">
        <v>648</v>
      </c>
      <c r="G93" s="824" t="s">
        <v>968</v>
      </c>
      <c r="H93" s="346">
        <v>1</v>
      </c>
      <c r="I93" s="347" t="s">
        <v>970</v>
      </c>
    </row>
    <row r="94" spans="1:9" ht="35.25" customHeight="1">
      <c r="A94" s="818"/>
      <c r="B94" s="818"/>
      <c r="C94" s="818"/>
      <c r="D94" s="820"/>
      <c r="E94" s="816"/>
      <c r="F94" s="823"/>
      <c r="G94" s="824"/>
      <c r="H94" s="346">
        <v>2</v>
      </c>
      <c r="I94" s="347" t="s">
        <v>971</v>
      </c>
    </row>
    <row r="95" spans="1:9" ht="20.25" customHeight="1">
      <c r="A95" s="818"/>
      <c r="B95" s="818"/>
      <c r="C95" s="818"/>
      <c r="D95" s="820"/>
      <c r="E95" s="816"/>
      <c r="F95" s="823"/>
      <c r="G95" s="824"/>
      <c r="H95" s="346">
        <v>3</v>
      </c>
      <c r="I95" s="347" t="s">
        <v>1085</v>
      </c>
    </row>
    <row r="96" spans="1:9" ht="69.75" customHeight="1">
      <c r="A96" s="818"/>
      <c r="B96" s="818"/>
      <c r="C96" s="818"/>
      <c r="D96" s="820"/>
      <c r="E96" s="816"/>
      <c r="F96" s="823"/>
      <c r="G96" s="824"/>
      <c r="H96" s="351">
        <v>4</v>
      </c>
      <c r="I96" s="347" t="s">
        <v>1086</v>
      </c>
    </row>
    <row r="97" spans="1:9" ht="45.75" customHeight="1">
      <c r="A97" s="818"/>
      <c r="B97" s="818"/>
      <c r="C97" s="818"/>
      <c r="D97" s="820"/>
      <c r="E97" s="816"/>
      <c r="F97" s="823" t="s">
        <v>649</v>
      </c>
      <c r="G97" s="824" t="s">
        <v>975</v>
      </c>
      <c r="H97" s="346">
        <v>1</v>
      </c>
      <c r="I97" s="361" t="s">
        <v>978</v>
      </c>
    </row>
    <row r="98" spans="1:9" ht="42.75" customHeight="1">
      <c r="A98" s="818"/>
      <c r="B98" s="818"/>
      <c r="C98" s="818"/>
      <c r="D98" s="820"/>
      <c r="E98" s="816"/>
      <c r="F98" s="823"/>
      <c r="G98" s="824"/>
      <c r="H98" s="346">
        <v>2</v>
      </c>
      <c r="I98" s="347" t="s">
        <v>979</v>
      </c>
    </row>
    <row r="99" spans="1:9" ht="32.25" customHeight="1">
      <c r="A99" s="818"/>
      <c r="B99" s="818"/>
      <c r="C99" s="818"/>
      <c r="D99" s="820"/>
      <c r="E99" s="816"/>
      <c r="F99" s="823"/>
      <c r="G99" s="824"/>
      <c r="H99" s="346">
        <v>3</v>
      </c>
      <c r="I99" s="347" t="s">
        <v>980</v>
      </c>
    </row>
    <row r="100" spans="1:9" ht="32.25" customHeight="1">
      <c r="A100" s="818"/>
      <c r="B100" s="818"/>
      <c r="C100" s="818"/>
      <c r="D100" s="820"/>
      <c r="E100" s="816"/>
      <c r="F100" s="823"/>
      <c r="G100" s="824"/>
      <c r="H100" s="346">
        <v>4</v>
      </c>
      <c r="I100" s="347" t="s">
        <v>1104</v>
      </c>
    </row>
    <row r="101" spans="1:9" ht="41.25" customHeight="1">
      <c r="A101" s="818"/>
      <c r="B101" s="818"/>
      <c r="C101" s="818"/>
      <c r="D101" s="820"/>
      <c r="E101" s="816"/>
      <c r="F101" s="823" t="s">
        <v>650</v>
      </c>
      <c r="G101" s="824" t="s">
        <v>974</v>
      </c>
      <c r="H101" s="385">
        <v>1</v>
      </c>
      <c r="I101" s="386" t="s">
        <v>1158</v>
      </c>
    </row>
    <row r="102" spans="1:9" ht="34.5" customHeight="1">
      <c r="A102" s="818"/>
      <c r="B102" s="818"/>
      <c r="C102" s="818"/>
      <c r="D102" s="820"/>
      <c r="E102" s="816"/>
      <c r="F102" s="823"/>
      <c r="G102" s="824"/>
      <c r="H102" s="346">
        <v>2</v>
      </c>
      <c r="I102" s="386" t="s">
        <v>659</v>
      </c>
    </row>
    <row r="103" spans="1:9" ht="41.25" customHeight="1">
      <c r="A103" s="818"/>
      <c r="B103" s="818"/>
      <c r="C103" s="818"/>
      <c r="D103" s="820"/>
      <c r="E103" s="817"/>
      <c r="F103" s="378" t="s">
        <v>651</v>
      </c>
      <c r="G103" s="379" t="s">
        <v>658</v>
      </c>
      <c r="H103" s="346">
        <v>1</v>
      </c>
      <c r="I103" s="347" t="s">
        <v>796</v>
      </c>
    </row>
    <row r="104" spans="1:9" ht="38.25" customHeight="1">
      <c r="A104" s="802" t="s">
        <v>715</v>
      </c>
      <c r="B104" s="802" t="s">
        <v>80</v>
      </c>
      <c r="C104" s="802" t="s">
        <v>694</v>
      </c>
      <c r="D104" s="819" t="s">
        <v>139</v>
      </c>
      <c r="E104" s="819" t="s">
        <v>273</v>
      </c>
      <c r="F104" s="821" t="s">
        <v>647</v>
      </c>
      <c r="G104" s="822" t="s">
        <v>981</v>
      </c>
      <c r="H104" s="349">
        <v>1</v>
      </c>
      <c r="I104" s="350" t="s">
        <v>794</v>
      </c>
    </row>
    <row r="105" spans="1:9" ht="33.75" customHeight="1">
      <c r="A105" s="802"/>
      <c r="B105" s="802"/>
      <c r="C105" s="802"/>
      <c r="D105" s="819"/>
      <c r="E105" s="819"/>
      <c r="F105" s="821"/>
      <c r="G105" s="822"/>
      <c r="H105" s="349">
        <v>2</v>
      </c>
      <c r="I105" s="350" t="s">
        <v>985</v>
      </c>
    </row>
    <row r="106" spans="1:9" ht="41.25" customHeight="1">
      <c r="A106" s="802"/>
      <c r="B106" s="802"/>
      <c r="C106" s="802"/>
      <c r="D106" s="819"/>
      <c r="E106" s="819"/>
      <c r="F106" s="821"/>
      <c r="G106" s="822"/>
      <c r="H106" s="349">
        <v>3</v>
      </c>
      <c r="I106" s="350" t="s">
        <v>987</v>
      </c>
    </row>
    <row r="107" spans="1:9" ht="38.25" customHeight="1">
      <c r="A107" s="802"/>
      <c r="B107" s="802"/>
      <c r="C107" s="802"/>
      <c r="D107" s="819"/>
      <c r="E107" s="819"/>
      <c r="F107" s="821"/>
      <c r="G107" s="822"/>
      <c r="H107" s="366">
        <v>4</v>
      </c>
      <c r="I107" s="369" t="s">
        <v>988</v>
      </c>
    </row>
    <row r="108" spans="1:9" ht="53.25" customHeight="1">
      <c r="A108" s="818" t="s">
        <v>715</v>
      </c>
      <c r="B108" s="818" t="s">
        <v>81</v>
      </c>
      <c r="C108" s="818" t="s">
        <v>695</v>
      </c>
      <c r="D108" s="820" t="s">
        <v>141</v>
      </c>
      <c r="E108" s="820" t="s">
        <v>573</v>
      </c>
      <c r="F108" s="353" t="s">
        <v>625</v>
      </c>
      <c r="G108" s="352" t="s">
        <v>775</v>
      </c>
      <c r="H108" s="351">
        <v>2</v>
      </c>
      <c r="I108" s="352" t="s">
        <v>1072</v>
      </c>
    </row>
    <row r="109" spans="1:9" ht="63.75">
      <c r="A109" s="818"/>
      <c r="B109" s="818"/>
      <c r="C109" s="818"/>
      <c r="D109" s="820"/>
      <c r="E109" s="820"/>
      <c r="F109" s="353" t="s">
        <v>626</v>
      </c>
      <c r="G109" s="352" t="s">
        <v>779</v>
      </c>
      <c r="H109" s="351">
        <v>2</v>
      </c>
      <c r="I109" s="352" t="s">
        <v>785</v>
      </c>
    </row>
    <row r="110" spans="1:9" ht="67.5" customHeight="1">
      <c r="A110" s="818"/>
      <c r="B110" s="818"/>
      <c r="C110" s="818"/>
      <c r="D110" s="820"/>
      <c r="E110" s="820"/>
      <c r="F110" s="378" t="s">
        <v>627</v>
      </c>
      <c r="G110" s="379" t="s">
        <v>805</v>
      </c>
      <c r="H110" s="385">
        <v>1</v>
      </c>
      <c r="I110" s="386" t="s">
        <v>780</v>
      </c>
    </row>
    <row r="111" spans="1:9" ht="40.5" customHeight="1">
      <c r="A111" s="802" t="s">
        <v>715</v>
      </c>
      <c r="B111" s="802" t="s">
        <v>305</v>
      </c>
      <c r="C111" s="802" t="s">
        <v>696</v>
      </c>
      <c r="D111" s="819" t="s">
        <v>142</v>
      </c>
      <c r="E111" s="819" t="s">
        <v>573</v>
      </c>
      <c r="F111" s="825" t="s">
        <v>625</v>
      </c>
      <c r="G111" s="836" t="s">
        <v>775</v>
      </c>
      <c r="H111" s="366">
        <v>1</v>
      </c>
      <c r="I111" s="369" t="s">
        <v>774</v>
      </c>
    </row>
    <row r="112" spans="1:9" ht="40.5" customHeight="1">
      <c r="A112" s="802"/>
      <c r="B112" s="802"/>
      <c r="C112" s="802"/>
      <c r="D112" s="819"/>
      <c r="E112" s="819"/>
      <c r="F112" s="825"/>
      <c r="G112" s="836"/>
      <c r="H112" s="366">
        <v>2</v>
      </c>
      <c r="I112" s="369" t="s">
        <v>1072</v>
      </c>
    </row>
    <row r="113" spans="1:9" ht="60.75" customHeight="1">
      <c r="A113" s="818" t="s">
        <v>715</v>
      </c>
      <c r="B113" s="818" t="s">
        <v>86</v>
      </c>
      <c r="C113" s="818" t="s">
        <v>697</v>
      </c>
      <c r="D113" s="820" t="s">
        <v>143</v>
      </c>
      <c r="E113" s="820" t="s">
        <v>576</v>
      </c>
      <c r="F113" s="823" t="s">
        <v>587</v>
      </c>
      <c r="G113" s="824" t="s">
        <v>734</v>
      </c>
      <c r="H113" s="346">
        <v>1</v>
      </c>
      <c r="I113" s="347" t="s">
        <v>803</v>
      </c>
    </row>
    <row r="114" spans="1:9" ht="45" customHeight="1">
      <c r="A114" s="818"/>
      <c r="B114" s="818"/>
      <c r="C114" s="818"/>
      <c r="D114" s="820"/>
      <c r="E114" s="820"/>
      <c r="F114" s="823"/>
      <c r="G114" s="824"/>
      <c r="H114" s="346">
        <v>2</v>
      </c>
      <c r="I114" s="347" t="s">
        <v>1025</v>
      </c>
    </row>
    <row r="115" spans="1:9" ht="51">
      <c r="A115" s="802" t="s">
        <v>715</v>
      </c>
      <c r="B115" s="802" t="s">
        <v>87</v>
      </c>
      <c r="C115" s="802" t="s">
        <v>939</v>
      </c>
      <c r="D115" s="819" t="s">
        <v>145</v>
      </c>
      <c r="E115" s="368" t="s">
        <v>633</v>
      </c>
      <c r="F115" s="364" t="s">
        <v>636</v>
      </c>
      <c r="G115" s="348" t="s">
        <v>870</v>
      </c>
      <c r="H115" s="349">
        <v>1</v>
      </c>
      <c r="I115" s="350" t="s">
        <v>1159</v>
      </c>
    </row>
    <row r="116" spans="1:9" ht="43.5" customHeight="1">
      <c r="A116" s="802"/>
      <c r="B116" s="802"/>
      <c r="C116" s="802"/>
      <c r="D116" s="819"/>
      <c r="E116" s="368" t="s">
        <v>273</v>
      </c>
      <c r="F116" s="366" t="s">
        <v>650</v>
      </c>
      <c r="G116" s="367" t="s">
        <v>974</v>
      </c>
      <c r="H116" s="368">
        <v>2</v>
      </c>
      <c r="I116" s="369" t="s">
        <v>659</v>
      </c>
    </row>
    <row r="117" spans="1:9" ht="90" customHeight="1">
      <c r="A117" s="352" t="s">
        <v>717</v>
      </c>
      <c r="B117" s="352" t="s">
        <v>672</v>
      </c>
      <c r="C117" s="352" t="s">
        <v>698</v>
      </c>
      <c r="D117" s="353" t="s">
        <v>731</v>
      </c>
      <c r="E117" s="353" t="s">
        <v>633</v>
      </c>
      <c r="F117" s="351" t="s">
        <v>741</v>
      </c>
      <c r="G117" s="361" t="s">
        <v>646</v>
      </c>
      <c r="H117" s="353">
        <v>3</v>
      </c>
      <c r="I117" s="352" t="s">
        <v>644</v>
      </c>
    </row>
    <row r="118" spans="1:9" ht="60.75" customHeight="1">
      <c r="A118" s="369" t="s">
        <v>717</v>
      </c>
      <c r="B118" s="369" t="s">
        <v>673</v>
      </c>
      <c r="C118" s="369" t="s">
        <v>699</v>
      </c>
      <c r="D118" s="368" t="s">
        <v>732</v>
      </c>
      <c r="E118" s="368" t="s">
        <v>633</v>
      </c>
      <c r="F118" s="366" t="s">
        <v>741</v>
      </c>
      <c r="G118" s="367" t="s">
        <v>646</v>
      </c>
      <c r="H118" s="368">
        <v>3</v>
      </c>
      <c r="I118" s="369" t="s">
        <v>644</v>
      </c>
    </row>
    <row r="119" spans="1:9" ht="56.25" customHeight="1">
      <c r="A119" s="818" t="s">
        <v>717</v>
      </c>
      <c r="B119" s="818" t="s">
        <v>92</v>
      </c>
      <c r="C119" s="818" t="s">
        <v>699</v>
      </c>
      <c r="D119" s="820" t="s">
        <v>147</v>
      </c>
      <c r="E119" s="820" t="s">
        <v>576</v>
      </c>
      <c r="F119" s="823" t="s">
        <v>595</v>
      </c>
      <c r="G119" s="824" t="s">
        <v>850</v>
      </c>
      <c r="H119" s="358">
        <v>1</v>
      </c>
      <c r="I119" s="359" t="s">
        <v>887</v>
      </c>
    </row>
    <row r="120" spans="1:9" ht="47.25" customHeight="1">
      <c r="A120" s="818"/>
      <c r="B120" s="818"/>
      <c r="C120" s="818"/>
      <c r="D120" s="820"/>
      <c r="E120" s="820"/>
      <c r="F120" s="823"/>
      <c r="G120" s="824"/>
      <c r="H120" s="346">
        <v>2</v>
      </c>
      <c r="I120" s="347" t="s">
        <v>851</v>
      </c>
    </row>
    <row r="121" spans="1:9" ht="26.1" customHeight="1">
      <c r="A121" s="818"/>
      <c r="B121" s="818"/>
      <c r="C121" s="818"/>
      <c r="D121" s="820"/>
      <c r="E121" s="820" t="s">
        <v>575</v>
      </c>
      <c r="F121" s="823" t="s">
        <v>610</v>
      </c>
      <c r="G121" s="824" t="s">
        <v>884</v>
      </c>
      <c r="H121" s="346">
        <v>1</v>
      </c>
      <c r="I121" s="347" t="s">
        <v>1035</v>
      </c>
    </row>
    <row r="122" spans="1:9" ht="38.1" customHeight="1">
      <c r="A122" s="818"/>
      <c r="B122" s="818"/>
      <c r="C122" s="818"/>
      <c r="D122" s="820"/>
      <c r="E122" s="820"/>
      <c r="F122" s="823"/>
      <c r="G122" s="824"/>
      <c r="H122" s="346">
        <v>2</v>
      </c>
      <c r="I122" s="347" t="s">
        <v>1036</v>
      </c>
    </row>
    <row r="123" spans="1:9" ht="79.5" customHeight="1">
      <c r="A123" s="802" t="s">
        <v>717</v>
      </c>
      <c r="B123" s="802" t="s">
        <v>674</v>
      </c>
      <c r="C123" s="802" t="s">
        <v>700</v>
      </c>
      <c r="D123" s="819" t="s">
        <v>149</v>
      </c>
      <c r="E123" s="819" t="s">
        <v>575</v>
      </c>
      <c r="F123" s="821" t="s">
        <v>604</v>
      </c>
      <c r="G123" s="822" t="s">
        <v>609</v>
      </c>
      <c r="H123" s="349">
        <v>1</v>
      </c>
      <c r="I123" s="350" t="s">
        <v>748</v>
      </c>
    </row>
    <row r="124" spans="1:9" ht="79.5" customHeight="1">
      <c r="A124" s="802"/>
      <c r="B124" s="802"/>
      <c r="C124" s="802"/>
      <c r="D124" s="819"/>
      <c r="E124" s="819"/>
      <c r="F124" s="821"/>
      <c r="G124" s="822"/>
      <c r="H124" s="349">
        <v>2</v>
      </c>
      <c r="I124" s="350" t="s">
        <v>867</v>
      </c>
    </row>
    <row r="125" spans="1:9" ht="201" customHeight="1">
      <c r="A125" s="352" t="s">
        <v>717</v>
      </c>
      <c r="B125" s="352" t="s">
        <v>100</v>
      </c>
      <c r="C125" s="352" t="s">
        <v>940</v>
      </c>
      <c r="D125" s="353" t="s">
        <v>150</v>
      </c>
      <c r="E125" s="353" t="s">
        <v>633</v>
      </c>
      <c r="F125" s="351" t="s">
        <v>741</v>
      </c>
      <c r="G125" s="361" t="s">
        <v>646</v>
      </c>
      <c r="H125" s="353">
        <v>5</v>
      </c>
      <c r="I125" s="352" t="s">
        <v>1004</v>
      </c>
    </row>
    <row r="126" spans="1:9" ht="38.25">
      <c r="A126" s="802" t="s">
        <v>717</v>
      </c>
      <c r="B126" s="802" t="s">
        <v>105</v>
      </c>
      <c r="C126" s="802" t="s">
        <v>701</v>
      </c>
      <c r="D126" s="819" t="s">
        <v>151</v>
      </c>
      <c r="E126" s="819" t="s">
        <v>575</v>
      </c>
      <c r="F126" s="834" t="s">
        <v>608</v>
      </c>
      <c r="G126" s="835" t="s">
        <v>966</v>
      </c>
      <c r="H126" s="391">
        <v>1</v>
      </c>
      <c r="I126" s="392" t="s">
        <v>1000</v>
      </c>
    </row>
    <row r="127" spans="1:9" ht="38.25">
      <c r="A127" s="802"/>
      <c r="B127" s="802"/>
      <c r="C127" s="802"/>
      <c r="D127" s="819"/>
      <c r="E127" s="819"/>
      <c r="F127" s="834"/>
      <c r="G127" s="835"/>
      <c r="H127" s="391">
        <v>2</v>
      </c>
      <c r="I127" s="392" t="s">
        <v>1001</v>
      </c>
    </row>
    <row r="128" spans="1:9" ht="38.25">
      <c r="A128" s="802"/>
      <c r="B128" s="802"/>
      <c r="C128" s="802"/>
      <c r="D128" s="819"/>
      <c r="E128" s="819"/>
      <c r="F128" s="834"/>
      <c r="G128" s="835"/>
      <c r="H128" s="366">
        <v>3</v>
      </c>
      <c r="I128" s="369" t="s">
        <v>1002</v>
      </c>
    </row>
    <row r="129" spans="1:9" ht="42.75" customHeight="1">
      <c r="A129" s="818" t="s">
        <v>717</v>
      </c>
      <c r="B129" s="818" t="s">
        <v>106</v>
      </c>
      <c r="C129" s="818" t="s">
        <v>701</v>
      </c>
      <c r="D129" s="820" t="s">
        <v>733</v>
      </c>
      <c r="E129" s="820" t="s">
        <v>575</v>
      </c>
      <c r="F129" s="820" t="s">
        <v>608</v>
      </c>
      <c r="G129" s="818" t="s">
        <v>966</v>
      </c>
      <c r="H129" s="346">
        <v>1</v>
      </c>
      <c r="I129" s="347" t="s">
        <v>1000</v>
      </c>
    </row>
    <row r="130" spans="1:9" ht="38.25" customHeight="1">
      <c r="A130" s="818"/>
      <c r="B130" s="818"/>
      <c r="C130" s="818"/>
      <c r="D130" s="820"/>
      <c r="E130" s="820"/>
      <c r="F130" s="820"/>
      <c r="G130" s="818"/>
      <c r="H130" s="346">
        <v>2</v>
      </c>
      <c r="I130" s="347" t="s">
        <v>1001</v>
      </c>
    </row>
    <row r="131" spans="1:9" ht="38.25">
      <c r="A131" s="818"/>
      <c r="B131" s="818"/>
      <c r="C131" s="818"/>
      <c r="D131" s="820"/>
      <c r="E131" s="820"/>
      <c r="F131" s="820"/>
      <c r="G131" s="818"/>
      <c r="H131" s="351">
        <v>3</v>
      </c>
      <c r="I131" s="352" t="s">
        <v>1002</v>
      </c>
    </row>
    <row r="132" spans="1:9" ht="46.5" customHeight="1">
      <c r="A132" s="802" t="s">
        <v>717</v>
      </c>
      <c r="B132" s="802" t="s">
        <v>107</v>
      </c>
      <c r="C132" s="802" t="s">
        <v>702</v>
      </c>
      <c r="D132" s="819" t="s">
        <v>152</v>
      </c>
      <c r="E132" s="819" t="s">
        <v>575</v>
      </c>
      <c r="F132" s="821" t="s">
        <v>604</v>
      </c>
      <c r="G132" s="822" t="s">
        <v>609</v>
      </c>
      <c r="H132" s="349">
        <v>1</v>
      </c>
      <c r="I132" s="350" t="s">
        <v>748</v>
      </c>
    </row>
    <row r="133" spans="1:9" ht="46.5" customHeight="1">
      <c r="A133" s="802"/>
      <c r="B133" s="802"/>
      <c r="C133" s="802"/>
      <c r="D133" s="819"/>
      <c r="E133" s="819"/>
      <c r="F133" s="821"/>
      <c r="G133" s="822"/>
      <c r="H133" s="349">
        <v>2</v>
      </c>
      <c r="I133" s="350" t="s">
        <v>867</v>
      </c>
    </row>
    <row r="134" spans="1:9" ht="69" customHeight="1">
      <c r="A134" s="802"/>
      <c r="B134" s="802"/>
      <c r="C134" s="802"/>
      <c r="D134" s="819"/>
      <c r="E134" s="819"/>
      <c r="F134" s="821" t="s">
        <v>605</v>
      </c>
      <c r="G134" s="822" t="s">
        <v>621</v>
      </c>
      <c r="H134" s="349">
        <v>1</v>
      </c>
      <c r="I134" s="350" t="s">
        <v>1029</v>
      </c>
    </row>
    <row r="135" spans="1:9" ht="30.75" customHeight="1">
      <c r="A135" s="802"/>
      <c r="B135" s="802"/>
      <c r="C135" s="802"/>
      <c r="D135" s="819"/>
      <c r="E135" s="819"/>
      <c r="F135" s="821"/>
      <c r="G135" s="822"/>
      <c r="H135" s="349">
        <v>2</v>
      </c>
      <c r="I135" s="350" t="s">
        <v>1030</v>
      </c>
    </row>
    <row r="136" spans="1:9" ht="30.95" customHeight="1">
      <c r="A136" s="818" t="s">
        <v>717</v>
      </c>
      <c r="B136" s="818" t="s">
        <v>108</v>
      </c>
      <c r="C136" s="818" t="s">
        <v>703</v>
      </c>
      <c r="D136" s="820" t="s">
        <v>153</v>
      </c>
      <c r="E136" s="820" t="s">
        <v>575</v>
      </c>
      <c r="F136" s="823" t="s">
        <v>610</v>
      </c>
      <c r="G136" s="824" t="s">
        <v>884</v>
      </c>
      <c r="H136" s="346">
        <v>1</v>
      </c>
      <c r="I136" s="347" t="s">
        <v>1035</v>
      </c>
    </row>
    <row r="137" spans="1:9" ht="63" customHeight="1">
      <c r="A137" s="818"/>
      <c r="B137" s="818"/>
      <c r="C137" s="818"/>
      <c r="D137" s="820"/>
      <c r="E137" s="820"/>
      <c r="F137" s="823"/>
      <c r="G137" s="824"/>
      <c r="H137" s="346">
        <v>2</v>
      </c>
      <c r="I137" s="347" t="s">
        <v>1036</v>
      </c>
    </row>
    <row r="138" spans="1:9" ht="52.5" customHeight="1">
      <c r="A138" s="802" t="s">
        <v>717</v>
      </c>
      <c r="B138" s="802" t="s">
        <v>716</v>
      </c>
      <c r="C138" s="802" t="s">
        <v>704</v>
      </c>
      <c r="D138" s="819" t="s">
        <v>736</v>
      </c>
      <c r="E138" s="819" t="s">
        <v>633</v>
      </c>
      <c r="F138" s="825" t="s">
        <v>741</v>
      </c>
      <c r="G138" s="802" t="s">
        <v>646</v>
      </c>
      <c r="H138" s="349">
        <v>3</v>
      </c>
      <c r="I138" s="350" t="s">
        <v>645</v>
      </c>
    </row>
    <row r="139" spans="1:9" ht="52.5" customHeight="1">
      <c r="A139" s="802"/>
      <c r="B139" s="802"/>
      <c r="C139" s="802"/>
      <c r="D139" s="819"/>
      <c r="E139" s="819"/>
      <c r="F139" s="825"/>
      <c r="G139" s="802"/>
      <c r="H139" s="349">
        <v>5</v>
      </c>
      <c r="I139" s="350" t="s">
        <v>1004</v>
      </c>
    </row>
    <row r="140" spans="1:9">
      <c r="E140" s="227"/>
      <c r="F140" s="324"/>
      <c r="G140" s="228"/>
      <c r="H140" s="228"/>
      <c r="I140" s="228"/>
    </row>
    <row r="141" spans="1:9">
      <c r="E141" s="227"/>
      <c r="F141" s="324"/>
      <c r="G141" s="228"/>
      <c r="H141" s="228"/>
      <c r="I141" s="228"/>
    </row>
    <row r="142" spans="1:9">
      <c r="E142" s="227"/>
      <c r="F142" s="324"/>
      <c r="G142" s="228"/>
      <c r="H142" s="228"/>
      <c r="I142" s="228"/>
    </row>
    <row r="143" spans="1:9">
      <c r="E143" s="829" t="s">
        <v>889</v>
      </c>
      <c r="F143" s="829"/>
      <c r="G143" s="829"/>
      <c r="H143" s="829"/>
      <c r="I143" s="829"/>
    </row>
    <row r="144" spans="1:9">
      <c r="E144" s="229" t="s">
        <v>577</v>
      </c>
      <c r="F144" s="830" t="s">
        <v>2</v>
      </c>
      <c r="G144" s="831"/>
      <c r="H144" s="830" t="s">
        <v>662</v>
      </c>
      <c r="I144" s="831"/>
    </row>
    <row r="145" spans="5:9" ht="45" customHeight="1">
      <c r="E145" s="803" t="s">
        <v>576</v>
      </c>
      <c r="F145" s="827" t="s">
        <v>581</v>
      </c>
      <c r="G145" s="828" t="s">
        <v>582</v>
      </c>
      <c r="H145" s="338">
        <v>1</v>
      </c>
      <c r="I145" s="339" t="s">
        <v>562</v>
      </c>
    </row>
    <row r="146" spans="5:9" ht="38.25">
      <c r="E146" s="804"/>
      <c r="F146" s="827"/>
      <c r="G146" s="828"/>
      <c r="H146" s="338">
        <v>2</v>
      </c>
      <c r="I146" s="339" t="s">
        <v>563</v>
      </c>
    </row>
    <row r="147" spans="5:9" ht="76.5" customHeight="1">
      <c r="E147" s="805"/>
      <c r="F147" s="393" t="s">
        <v>594</v>
      </c>
      <c r="G147" s="340" t="s">
        <v>596</v>
      </c>
      <c r="H147" s="332">
        <v>1</v>
      </c>
      <c r="I147" s="331" t="s">
        <v>566</v>
      </c>
    </row>
    <row r="148" spans="5:9" ht="63" customHeight="1">
      <c r="E148" s="806" t="s">
        <v>575</v>
      </c>
      <c r="F148" s="832" t="s">
        <v>606</v>
      </c>
      <c r="G148" s="833" t="s">
        <v>719</v>
      </c>
      <c r="H148" s="398">
        <v>1</v>
      </c>
      <c r="I148" s="399" t="s">
        <v>735</v>
      </c>
    </row>
    <row r="149" spans="5:9" ht="63" customHeight="1">
      <c r="E149" s="807"/>
      <c r="F149" s="832"/>
      <c r="G149" s="833"/>
      <c r="H149" s="398">
        <v>2</v>
      </c>
      <c r="I149" s="399" t="s">
        <v>751</v>
      </c>
    </row>
    <row r="150" spans="5:9" ht="63" customHeight="1">
      <c r="E150" s="807"/>
      <c r="F150" s="832" t="s">
        <v>607</v>
      </c>
      <c r="G150" s="833" t="s">
        <v>1037</v>
      </c>
      <c r="H150" s="398">
        <v>1</v>
      </c>
      <c r="I150" s="399" t="s">
        <v>1032</v>
      </c>
    </row>
    <row r="151" spans="5:9" ht="63" customHeight="1">
      <c r="E151" s="808"/>
      <c r="F151" s="832"/>
      <c r="G151" s="833"/>
      <c r="H151" s="398">
        <v>2</v>
      </c>
      <c r="I151" s="399" t="s">
        <v>1033</v>
      </c>
    </row>
    <row r="152" spans="5:9" ht="63" customHeight="1">
      <c r="E152" s="809" t="s">
        <v>573</v>
      </c>
      <c r="F152" s="393" t="s">
        <v>620</v>
      </c>
      <c r="G152" s="340" t="s">
        <v>765</v>
      </c>
      <c r="H152" s="338">
        <v>1</v>
      </c>
      <c r="I152" s="339" t="s">
        <v>784</v>
      </c>
    </row>
    <row r="153" spans="5:9" ht="45.75" customHeight="1">
      <c r="E153" s="810"/>
      <c r="F153" s="827" t="s">
        <v>802</v>
      </c>
      <c r="G153" s="828" t="s">
        <v>809</v>
      </c>
      <c r="H153" s="338">
        <v>1</v>
      </c>
      <c r="I153" s="333" t="s">
        <v>814</v>
      </c>
    </row>
    <row r="154" spans="5:9" ht="32.25" customHeight="1">
      <c r="E154" s="810"/>
      <c r="F154" s="827"/>
      <c r="G154" s="828"/>
      <c r="H154" s="338">
        <v>2</v>
      </c>
      <c r="I154" s="339" t="s">
        <v>817</v>
      </c>
    </row>
    <row r="155" spans="5:9" ht="43.5" customHeight="1">
      <c r="E155" s="810"/>
      <c r="F155" s="827"/>
      <c r="G155" s="828"/>
      <c r="H155" s="338">
        <v>3</v>
      </c>
      <c r="I155" s="333" t="s">
        <v>813</v>
      </c>
    </row>
    <row r="156" spans="5:9" ht="30.75" customHeight="1">
      <c r="E156" s="810"/>
      <c r="F156" s="827"/>
      <c r="G156" s="828"/>
      <c r="H156" s="338">
        <v>4</v>
      </c>
      <c r="I156" s="339" t="s">
        <v>810</v>
      </c>
    </row>
    <row r="157" spans="5:9" ht="56.25" customHeight="1">
      <c r="E157" s="810"/>
      <c r="F157" s="827"/>
      <c r="G157" s="828"/>
      <c r="H157" s="338">
        <v>5</v>
      </c>
      <c r="I157" s="339" t="s">
        <v>815</v>
      </c>
    </row>
    <row r="158" spans="5:9" ht="44.25" customHeight="1">
      <c r="E158" s="810"/>
      <c r="F158" s="827"/>
      <c r="G158" s="828"/>
      <c r="H158" s="332">
        <v>6</v>
      </c>
      <c r="I158" s="331" t="s">
        <v>1109</v>
      </c>
    </row>
    <row r="159" spans="5:9" ht="58.5" customHeight="1">
      <c r="E159" s="810"/>
      <c r="F159" s="827" t="s">
        <v>818</v>
      </c>
      <c r="G159" s="828" t="s">
        <v>821</v>
      </c>
      <c r="H159" s="338">
        <v>1</v>
      </c>
      <c r="I159" s="339" t="s">
        <v>822</v>
      </c>
    </row>
    <row r="160" spans="5:9" ht="85.5" customHeight="1">
      <c r="E160" s="811"/>
      <c r="F160" s="827"/>
      <c r="G160" s="828"/>
      <c r="H160" s="338">
        <v>2</v>
      </c>
      <c r="I160" s="339" t="s">
        <v>820</v>
      </c>
    </row>
    <row r="161" spans="5:9" ht="54" customHeight="1">
      <c r="E161" s="812" t="s">
        <v>633</v>
      </c>
      <c r="F161" s="400" t="s">
        <v>635</v>
      </c>
      <c r="G161" s="401" t="s">
        <v>637</v>
      </c>
      <c r="H161" s="398">
        <v>1</v>
      </c>
      <c r="I161" s="399" t="s">
        <v>1042</v>
      </c>
    </row>
    <row r="162" spans="5:9" ht="69.75" customHeight="1">
      <c r="E162" s="813"/>
      <c r="F162" s="832" t="s">
        <v>640</v>
      </c>
      <c r="G162" s="833" t="s">
        <v>1092</v>
      </c>
      <c r="H162" s="398">
        <v>1</v>
      </c>
      <c r="I162" s="399" t="s">
        <v>447</v>
      </c>
    </row>
    <row r="163" spans="5:9" ht="45.75" customHeight="1">
      <c r="E163" s="813"/>
      <c r="F163" s="832"/>
      <c r="G163" s="833"/>
      <c r="H163" s="398">
        <v>2</v>
      </c>
      <c r="I163" s="399" t="s">
        <v>426</v>
      </c>
    </row>
    <row r="164" spans="5:9" ht="55.5" customHeight="1">
      <c r="E164" s="813"/>
      <c r="F164" s="832"/>
      <c r="G164" s="833"/>
      <c r="H164" s="398">
        <v>3</v>
      </c>
      <c r="I164" s="402" t="s">
        <v>429</v>
      </c>
    </row>
    <row r="165" spans="5:9" ht="109.5" customHeight="1">
      <c r="E165" s="813"/>
      <c r="F165" s="832"/>
      <c r="G165" s="833"/>
      <c r="H165" s="398">
        <v>4</v>
      </c>
      <c r="I165" s="403" t="s">
        <v>997</v>
      </c>
    </row>
    <row r="166" spans="5:9" ht="43.5" customHeight="1">
      <c r="E166" s="813"/>
      <c r="F166" s="844" t="s">
        <v>741</v>
      </c>
      <c r="G166" s="826" t="s">
        <v>646</v>
      </c>
      <c r="H166" s="398">
        <v>1</v>
      </c>
      <c r="I166" s="399" t="s">
        <v>643</v>
      </c>
    </row>
    <row r="167" spans="5:9" ht="50.25" customHeight="1">
      <c r="E167" s="813"/>
      <c r="F167" s="844"/>
      <c r="G167" s="826"/>
      <c r="H167" s="398">
        <v>2</v>
      </c>
      <c r="I167" s="399" t="s">
        <v>644</v>
      </c>
    </row>
    <row r="168" spans="5:9" ht="100.5" customHeight="1">
      <c r="E168" s="814"/>
      <c r="F168" s="844"/>
      <c r="G168" s="826"/>
      <c r="H168" s="405">
        <v>4</v>
      </c>
      <c r="I168" s="403" t="s">
        <v>1083</v>
      </c>
    </row>
    <row r="169" spans="5:9" ht="47.25" customHeight="1">
      <c r="E169" s="803" t="s">
        <v>574</v>
      </c>
      <c r="F169" s="840" t="s">
        <v>655</v>
      </c>
      <c r="G169" s="841" t="s">
        <v>555</v>
      </c>
      <c r="H169" s="332">
        <v>1</v>
      </c>
      <c r="I169" s="331" t="s">
        <v>1088</v>
      </c>
    </row>
    <row r="170" spans="5:9" ht="33.75" customHeight="1">
      <c r="E170" s="805"/>
      <c r="F170" s="840"/>
      <c r="G170" s="841"/>
      <c r="H170" s="332">
        <v>2</v>
      </c>
      <c r="I170" s="331" t="s">
        <v>963</v>
      </c>
    </row>
    <row r="172" spans="5:9">
      <c r="F172" s="183">
        <v>11</v>
      </c>
      <c r="H172" s="183">
        <v>26</v>
      </c>
    </row>
  </sheetData>
  <autoFilter ref="A2:I140" xr:uid="{00000000-0009-0000-0000-000002000000}"/>
  <mergeCells count="229">
    <mergeCell ref="G3:G5"/>
    <mergeCell ref="F169:F170"/>
    <mergeCell ref="G169:G170"/>
    <mergeCell ref="F153:F158"/>
    <mergeCell ref="G153:G158"/>
    <mergeCell ref="F87:F88"/>
    <mergeCell ref="G87:G88"/>
    <mergeCell ref="F52:F53"/>
    <mergeCell ref="G52:G53"/>
    <mergeCell ref="F56:F58"/>
    <mergeCell ref="G56:G58"/>
    <mergeCell ref="F59:F60"/>
    <mergeCell ref="G59:G60"/>
    <mergeCell ref="F61:F62"/>
    <mergeCell ref="G61:G62"/>
    <mergeCell ref="F77:F78"/>
    <mergeCell ref="G77:G78"/>
    <mergeCell ref="F50:F51"/>
    <mergeCell ref="G50:G51"/>
    <mergeCell ref="F69:F70"/>
    <mergeCell ref="G69:G70"/>
    <mergeCell ref="G119:G120"/>
    <mergeCell ref="F121:F122"/>
    <mergeCell ref="F166:F168"/>
    <mergeCell ref="C18:C28"/>
    <mergeCell ref="D18:D28"/>
    <mergeCell ref="E21:E28"/>
    <mergeCell ref="C29:C39"/>
    <mergeCell ref="E18:E19"/>
    <mergeCell ref="C54:C62"/>
    <mergeCell ref="D54:D62"/>
    <mergeCell ref="E56:E62"/>
    <mergeCell ref="F3:F5"/>
    <mergeCell ref="B8:B17"/>
    <mergeCell ref="C8:C17"/>
    <mergeCell ref="D8:D17"/>
    <mergeCell ref="E10:E17"/>
    <mergeCell ref="F64:F65"/>
    <mergeCell ref="G64:G65"/>
    <mergeCell ref="F54:F55"/>
    <mergeCell ref="E54:E55"/>
    <mergeCell ref="G54:G55"/>
    <mergeCell ref="F10:F13"/>
    <mergeCell ref="G10:G13"/>
    <mergeCell ref="F21:F24"/>
    <mergeCell ref="G21:G24"/>
    <mergeCell ref="F32:F35"/>
    <mergeCell ref="G32:G35"/>
    <mergeCell ref="F14:F17"/>
    <mergeCell ref="G14:G17"/>
    <mergeCell ref="F25:F28"/>
    <mergeCell ref="G25:G28"/>
    <mergeCell ref="F36:F39"/>
    <mergeCell ref="G36:G39"/>
    <mergeCell ref="B29:B39"/>
    <mergeCell ref="B54:B62"/>
    <mergeCell ref="B18:B28"/>
    <mergeCell ref="C77:C81"/>
    <mergeCell ref="D77:D81"/>
    <mergeCell ref="E77:E81"/>
    <mergeCell ref="A1:D1"/>
    <mergeCell ref="E1:I1"/>
    <mergeCell ref="F2:G2"/>
    <mergeCell ref="H2:I2"/>
    <mergeCell ref="B3:B7"/>
    <mergeCell ref="C3:C7"/>
    <mergeCell ref="D3:D7"/>
    <mergeCell ref="E3:E7"/>
    <mergeCell ref="F6:F7"/>
    <mergeCell ref="G6:G7"/>
    <mergeCell ref="D29:D39"/>
    <mergeCell ref="E32:E39"/>
    <mergeCell ref="B46:B47"/>
    <mergeCell ref="C46:C47"/>
    <mergeCell ref="D46:D47"/>
    <mergeCell ref="E46:E47"/>
    <mergeCell ref="B49:B53"/>
    <mergeCell ref="C49:C53"/>
    <mergeCell ref="D49:D53"/>
    <mergeCell ref="E49:E53"/>
    <mergeCell ref="E29:E30"/>
    <mergeCell ref="B74:B75"/>
    <mergeCell ref="C74:C75"/>
    <mergeCell ref="D74:D75"/>
    <mergeCell ref="E74:E75"/>
    <mergeCell ref="B63:B65"/>
    <mergeCell ref="C63:C65"/>
    <mergeCell ref="D63:D65"/>
    <mergeCell ref="E63:E65"/>
    <mergeCell ref="B69:B73"/>
    <mergeCell ref="C69:C73"/>
    <mergeCell ref="D69:D73"/>
    <mergeCell ref="E69:E73"/>
    <mergeCell ref="C84:C86"/>
    <mergeCell ref="D84:D86"/>
    <mergeCell ref="E84:E85"/>
    <mergeCell ref="B89:B103"/>
    <mergeCell ref="C89:C103"/>
    <mergeCell ref="D89:D103"/>
    <mergeCell ref="E87:E88"/>
    <mergeCell ref="D87:D88"/>
    <mergeCell ref="C87:C88"/>
    <mergeCell ref="B87:B88"/>
    <mergeCell ref="B84:B86"/>
    <mergeCell ref="D108:D110"/>
    <mergeCell ref="E108:E110"/>
    <mergeCell ref="B111:B112"/>
    <mergeCell ref="C111:C112"/>
    <mergeCell ref="D111:D112"/>
    <mergeCell ref="E111:E112"/>
    <mergeCell ref="F101:F102"/>
    <mergeCell ref="G101:G102"/>
    <mergeCell ref="F104:F107"/>
    <mergeCell ref="G104:G107"/>
    <mergeCell ref="B104:B107"/>
    <mergeCell ref="B108:B110"/>
    <mergeCell ref="B126:B128"/>
    <mergeCell ref="C126:C128"/>
    <mergeCell ref="D126:D128"/>
    <mergeCell ref="E126:E128"/>
    <mergeCell ref="F126:F128"/>
    <mergeCell ref="G126:G128"/>
    <mergeCell ref="E119:E120"/>
    <mergeCell ref="F111:F112"/>
    <mergeCell ref="G111:G112"/>
    <mergeCell ref="B113:B114"/>
    <mergeCell ref="C113:C114"/>
    <mergeCell ref="D113:D114"/>
    <mergeCell ref="E113:E114"/>
    <mergeCell ref="F113:F114"/>
    <mergeCell ref="G113:G114"/>
    <mergeCell ref="E121:E122"/>
    <mergeCell ref="D119:D122"/>
    <mergeCell ref="C119:C122"/>
    <mergeCell ref="B119:B122"/>
    <mergeCell ref="F119:F120"/>
    <mergeCell ref="B115:B116"/>
    <mergeCell ref="G121:G122"/>
    <mergeCell ref="G166:G168"/>
    <mergeCell ref="F159:F160"/>
    <mergeCell ref="G159:G160"/>
    <mergeCell ref="G134:G135"/>
    <mergeCell ref="E143:I143"/>
    <mergeCell ref="F144:G144"/>
    <mergeCell ref="H144:I144"/>
    <mergeCell ref="F145:F146"/>
    <mergeCell ref="G145:G146"/>
    <mergeCell ref="E132:E135"/>
    <mergeCell ref="F132:F133"/>
    <mergeCell ref="G132:G133"/>
    <mergeCell ref="F134:F135"/>
    <mergeCell ref="F148:F149"/>
    <mergeCell ref="G148:G149"/>
    <mergeCell ref="F150:F151"/>
    <mergeCell ref="G150:G151"/>
    <mergeCell ref="F162:F165"/>
    <mergeCell ref="G162:G165"/>
    <mergeCell ref="F136:F137"/>
    <mergeCell ref="G136:G137"/>
    <mergeCell ref="B136:B137"/>
    <mergeCell ref="C136:C137"/>
    <mergeCell ref="D136:D137"/>
    <mergeCell ref="E136:E137"/>
    <mergeCell ref="F138:F139"/>
    <mergeCell ref="G138:G139"/>
    <mergeCell ref="E138:E139"/>
    <mergeCell ref="D138:D139"/>
    <mergeCell ref="C138:C139"/>
    <mergeCell ref="B138:B139"/>
    <mergeCell ref="A3:A7"/>
    <mergeCell ref="A8:A17"/>
    <mergeCell ref="A18:A28"/>
    <mergeCell ref="A29:A39"/>
    <mergeCell ref="A46:A47"/>
    <mergeCell ref="A49:A53"/>
    <mergeCell ref="G129:G131"/>
    <mergeCell ref="B129:B131"/>
    <mergeCell ref="C129:C131"/>
    <mergeCell ref="D129:D131"/>
    <mergeCell ref="F123:F124"/>
    <mergeCell ref="G123:G124"/>
    <mergeCell ref="E123:E124"/>
    <mergeCell ref="D123:D124"/>
    <mergeCell ref="C123:C124"/>
    <mergeCell ref="B123:B124"/>
    <mergeCell ref="F89:F92"/>
    <mergeCell ref="G89:G92"/>
    <mergeCell ref="F93:F96"/>
    <mergeCell ref="G93:G96"/>
    <mergeCell ref="F97:F100"/>
    <mergeCell ref="G97:G100"/>
    <mergeCell ref="E129:E131"/>
    <mergeCell ref="F129:F131"/>
    <mergeCell ref="A87:A88"/>
    <mergeCell ref="A89:A103"/>
    <mergeCell ref="A104:A107"/>
    <mergeCell ref="A108:A110"/>
    <mergeCell ref="A111:A112"/>
    <mergeCell ref="A113:A114"/>
    <mergeCell ref="A115:A116"/>
    <mergeCell ref="A54:A62"/>
    <mergeCell ref="A63:A65"/>
    <mergeCell ref="A69:A73"/>
    <mergeCell ref="A74:A75"/>
    <mergeCell ref="A77:A81"/>
    <mergeCell ref="B77:B81"/>
    <mergeCell ref="E145:E147"/>
    <mergeCell ref="E148:E151"/>
    <mergeCell ref="E152:E160"/>
    <mergeCell ref="E161:E168"/>
    <mergeCell ref="E169:E170"/>
    <mergeCell ref="E89:E103"/>
    <mergeCell ref="A123:A124"/>
    <mergeCell ref="A126:A128"/>
    <mergeCell ref="A129:A131"/>
    <mergeCell ref="A132:A135"/>
    <mergeCell ref="A136:A137"/>
    <mergeCell ref="A138:A139"/>
    <mergeCell ref="A119:A122"/>
    <mergeCell ref="C104:C107"/>
    <mergeCell ref="D104:D107"/>
    <mergeCell ref="E104:E107"/>
    <mergeCell ref="C132:C135"/>
    <mergeCell ref="D132:D135"/>
    <mergeCell ref="C115:C116"/>
    <mergeCell ref="C108:C110"/>
    <mergeCell ref="B132:B135"/>
    <mergeCell ref="D115:D116"/>
    <mergeCell ref="A84:A86"/>
  </mergeCells>
  <phoneticPr fontId="35" type="noConversion"/>
  <printOptions horizontalCentered="1"/>
  <pageMargins left="0.51181102362204722" right="0.51181102362204722" top="0.39370078740157483" bottom="0.39370078740157483" header="0.31496062992125984" footer="0.31496062992125984"/>
  <pageSetup paperSize="9" scale="47" fitToHeight="0" orientation="landscape" horizontalDpi="300" verticalDpi="300" r:id="rId1"/>
  <rowBreaks count="8" manualBreakCount="8">
    <brk id="24" max="8" man="1"/>
    <brk id="44" max="8" man="1"/>
    <brk id="60" max="8" man="1"/>
    <brk id="76" max="8" man="1"/>
    <brk id="92" max="8" man="1"/>
    <brk id="116" max="8" man="1"/>
    <brk id="135" max="8" man="1"/>
    <brk id="162" min="4"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87"/>
  <sheetViews>
    <sheetView showGridLines="0" workbookViewId="0">
      <selection activeCell="C42" sqref="C42"/>
    </sheetView>
  </sheetViews>
  <sheetFormatPr baseColWidth="10" defaultRowHeight="15"/>
  <cols>
    <col min="1" max="1" width="7.140625" customWidth="1"/>
    <col min="2" max="2" width="38.42578125" customWidth="1"/>
    <col min="3" max="3" width="115.7109375" customWidth="1"/>
  </cols>
  <sheetData>
    <row r="2" spans="2:3" ht="15.75">
      <c r="B2" s="49" t="s">
        <v>459</v>
      </c>
    </row>
    <row r="4" spans="2:3" ht="15.75">
      <c r="B4" s="152" t="s">
        <v>318</v>
      </c>
      <c r="C4" s="152" t="s">
        <v>339</v>
      </c>
    </row>
    <row r="5" spans="2:3" ht="30">
      <c r="B5" s="177" t="s">
        <v>460</v>
      </c>
      <c r="C5" s="174">
        <v>12</v>
      </c>
    </row>
    <row r="6" spans="2:3" ht="30">
      <c r="B6" s="177" t="s">
        <v>461</v>
      </c>
      <c r="C6" s="174">
        <v>8</v>
      </c>
    </row>
    <row r="7" spans="2:3" ht="30">
      <c r="B7" s="177" t="s">
        <v>462</v>
      </c>
      <c r="C7" s="174">
        <v>11</v>
      </c>
    </row>
    <row r="8" spans="2:3">
      <c r="B8" s="177" t="s">
        <v>463</v>
      </c>
      <c r="C8" s="174">
        <v>6</v>
      </c>
    </row>
    <row r="9" spans="2:3">
      <c r="B9" s="177" t="s">
        <v>464</v>
      </c>
      <c r="C9" s="174">
        <v>11</v>
      </c>
    </row>
    <row r="10" spans="2:3">
      <c r="B10" s="177" t="s">
        <v>500</v>
      </c>
      <c r="C10" s="174">
        <v>5</v>
      </c>
    </row>
    <row r="11" spans="2:3" ht="30">
      <c r="B11" s="177" t="s">
        <v>465</v>
      </c>
      <c r="C11" s="174">
        <v>7</v>
      </c>
    </row>
    <row r="12" spans="2:3" ht="15.75" thickBot="1"/>
    <row r="13" spans="2:3" ht="15.75">
      <c r="B13" s="852" t="s">
        <v>317</v>
      </c>
      <c r="C13" s="853"/>
    </row>
    <row r="14" spans="2:3" ht="16.5" thickBot="1">
      <c r="B14" s="54" t="s">
        <v>318</v>
      </c>
      <c r="C14" s="55" t="s">
        <v>339</v>
      </c>
    </row>
    <row r="15" spans="2:3">
      <c r="B15" s="854" t="s">
        <v>247</v>
      </c>
      <c r="C15" s="848" t="s">
        <v>279</v>
      </c>
    </row>
    <row r="16" spans="2:3">
      <c r="B16" s="855"/>
      <c r="C16" s="849"/>
    </row>
    <row r="17" spans="2:3">
      <c r="B17" s="856"/>
      <c r="C17" s="858" t="s">
        <v>294</v>
      </c>
    </row>
    <row r="18" spans="2:3">
      <c r="B18" s="856"/>
      <c r="C18" s="859"/>
    </row>
    <row r="19" spans="2:3">
      <c r="B19" s="856"/>
      <c r="C19" s="860" t="s">
        <v>240</v>
      </c>
    </row>
    <row r="20" spans="2:3">
      <c r="B20" s="856"/>
      <c r="C20" s="849"/>
    </row>
    <row r="21" spans="2:3">
      <c r="B21" s="856"/>
      <c r="C21" s="858" t="s">
        <v>241</v>
      </c>
    </row>
    <row r="22" spans="2:3">
      <c r="B22" s="856"/>
      <c r="C22" s="859"/>
    </row>
    <row r="23" spans="2:3" ht="30">
      <c r="B23" s="856"/>
      <c r="C23" s="133" t="s">
        <v>242</v>
      </c>
    </row>
    <row r="24" spans="2:3" ht="30">
      <c r="B24" s="856"/>
      <c r="C24" s="47" t="s">
        <v>243</v>
      </c>
    </row>
    <row r="25" spans="2:3" ht="45">
      <c r="B25" s="856"/>
      <c r="C25" s="45" t="s">
        <v>244</v>
      </c>
    </row>
    <row r="26" spans="2:3" ht="30">
      <c r="B26" s="856"/>
      <c r="C26" s="47" t="s">
        <v>300</v>
      </c>
    </row>
    <row r="27" spans="2:3" ht="30">
      <c r="B27" s="856"/>
      <c r="C27" s="45" t="s">
        <v>281</v>
      </c>
    </row>
    <row r="28" spans="2:3">
      <c r="B28" s="856"/>
      <c r="C28" s="47" t="s">
        <v>245</v>
      </c>
    </row>
    <row r="29" spans="2:3" ht="30">
      <c r="B29" s="856"/>
      <c r="C29" s="45" t="s">
        <v>246</v>
      </c>
    </row>
    <row r="30" spans="2:3" ht="30.75" thickBot="1">
      <c r="B30" s="857"/>
      <c r="C30" s="149" t="s">
        <v>302</v>
      </c>
    </row>
    <row r="31" spans="2:3" ht="45">
      <c r="B31" s="854" t="s">
        <v>251</v>
      </c>
      <c r="C31" s="150" t="s">
        <v>248</v>
      </c>
    </row>
    <row r="32" spans="2:3">
      <c r="B32" s="855"/>
      <c r="C32" s="850" t="s">
        <v>280</v>
      </c>
    </row>
    <row r="33" spans="2:3">
      <c r="B33" s="856"/>
      <c r="C33" s="851"/>
    </row>
    <row r="34" spans="2:3">
      <c r="B34" s="856"/>
      <c r="C34" s="860" t="s">
        <v>303</v>
      </c>
    </row>
    <row r="35" spans="2:3">
      <c r="B35" s="856"/>
      <c r="C35" s="849"/>
    </row>
    <row r="36" spans="2:3">
      <c r="B36" s="856"/>
      <c r="C36" s="850" t="s">
        <v>341</v>
      </c>
    </row>
    <row r="37" spans="2:3">
      <c r="B37" s="856"/>
      <c r="C37" s="851"/>
    </row>
    <row r="38" spans="2:3">
      <c r="B38" s="856"/>
      <c r="C38" s="860" t="s">
        <v>282</v>
      </c>
    </row>
    <row r="39" spans="2:3">
      <c r="B39" s="856"/>
      <c r="C39" s="849"/>
    </row>
    <row r="40" spans="2:3" ht="30">
      <c r="B40" s="856"/>
      <c r="C40" s="151" t="s">
        <v>249</v>
      </c>
    </row>
    <row r="41" spans="2:3" ht="30">
      <c r="B41" s="856"/>
      <c r="C41" s="45" t="s">
        <v>304</v>
      </c>
    </row>
    <row r="42" spans="2:3" ht="15.75" thickBot="1">
      <c r="B42" s="861"/>
      <c r="C42" s="133" t="s">
        <v>250</v>
      </c>
    </row>
    <row r="43" spans="2:3">
      <c r="B43" s="845" t="s">
        <v>252</v>
      </c>
      <c r="C43" s="848" t="s">
        <v>253</v>
      </c>
    </row>
    <row r="44" spans="2:3">
      <c r="B44" s="846"/>
      <c r="C44" s="849"/>
    </row>
    <row r="45" spans="2:3" ht="30">
      <c r="B45" s="846"/>
      <c r="C45" s="47" t="s">
        <v>306</v>
      </c>
    </row>
    <row r="46" spans="2:3" ht="30">
      <c r="B46" s="846"/>
      <c r="C46" s="45" t="s">
        <v>359</v>
      </c>
    </row>
    <row r="47" spans="2:3" ht="30">
      <c r="B47" s="846"/>
      <c r="C47" s="47" t="s">
        <v>283</v>
      </c>
    </row>
    <row r="48" spans="2:3" ht="30">
      <c r="B48" s="846"/>
      <c r="C48" s="45" t="s">
        <v>366</v>
      </c>
    </row>
    <row r="49" spans="2:3" ht="45">
      <c r="B49" s="846"/>
      <c r="C49" s="47" t="s">
        <v>254</v>
      </c>
    </row>
    <row r="50" spans="2:3">
      <c r="B50" s="846"/>
      <c r="C50" s="850" t="s">
        <v>255</v>
      </c>
    </row>
    <row r="51" spans="2:3">
      <c r="B51" s="846"/>
      <c r="C51" s="851"/>
    </row>
    <row r="52" spans="2:3" ht="45">
      <c r="B52" s="846"/>
      <c r="C52" s="47" t="s">
        <v>256</v>
      </c>
    </row>
    <row r="53" spans="2:3" ht="45">
      <c r="B53" s="846"/>
      <c r="C53" s="45" t="s">
        <v>257</v>
      </c>
    </row>
    <row r="54" spans="2:3" ht="45">
      <c r="B54" s="846"/>
      <c r="C54" s="47" t="s">
        <v>379</v>
      </c>
    </row>
    <row r="55" spans="2:3" ht="30.75" thickBot="1">
      <c r="B55" s="847"/>
      <c r="C55" s="63" t="s">
        <v>258</v>
      </c>
    </row>
    <row r="56" spans="2:3" ht="30">
      <c r="B56" s="854" t="s">
        <v>261</v>
      </c>
      <c r="C56" s="150" t="s">
        <v>259</v>
      </c>
    </row>
    <row r="57" spans="2:3" ht="30">
      <c r="B57" s="856"/>
      <c r="C57" s="47" t="s">
        <v>284</v>
      </c>
    </row>
    <row r="58" spans="2:3" ht="30">
      <c r="B58" s="856"/>
      <c r="C58" s="45" t="s">
        <v>260</v>
      </c>
    </row>
    <row r="59" spans="2:3" ht="30">
      <c r="B59" s="856"/>
      <c r="C59" s="47" t="s">
        <v>309</v>
      </c>
    </row>
    <row r="60" spans="2:3" ht="30">
      <c r="B60" s="856"/>
      <c r="C60" s="45" t="s">
        <v>310</v>
      </c>
    </row>
    <row r="61" spans="2:3" ht="30.75" thickBot="1">
      <c r="B61" s="857"/>
      <c r="C61" s="149" t="s">
        <v>311</v>
      </c>
    </row>
    <row r="62" spans="2:3" ht="30">
      <c r="B62" s="855" t="s">
        <v>262</v>
      </c>
      <c r="C62" s="134" t="s">
        <v>312</v>
      </c>
    </row>
    <row r="63" spans="2:3">
      <c r="B63" s="856"/>
      <c r="C63" s="47" t="s">
        <v>263</v>
      </c>
    </row>
    <row r="64" spans="2:3" ht="30">
      <c r="B64" s="856"/>
      <c r="C64" s="45" t="s">
        <v>264</v>
      </c>
    </row>
    <row r="65" spans="2:3">
      <c r="B65" s="856"/>
      <c r="C65" s="47" t="s">
        <v>265</v>
      </c>
    </row>
    <row r="66" spans="2:3" ht="30">
      <c r="B66" s="856"/>
      <c r="C66" s="45" t="s">
        <v>266</v>
      </c>
    </row>
    <row r="67" spans="2:3">
      <c r="B67" s="856"/>
      <c r="C67" s="47" t="s">
        <v>267</v>
      </c>
    </row>
    <row r="68" spans="2:3">
      <c r="B68" s="856"/>
      <c r="C68" s="45" t="s">
        <v>268</v>
      </c>
    </row>
    <row r="69" spans="2:3" ht="30">
      <c r="B69" s="856"/>
      <c r="C69" s="47" t="s">
        <v>269</v>
      </c>
    </row>
    <row r="70" spans="2:3">
      <c r="B70" s="856"/>
      <c r="C70" s="45" t="s">
        <v>270</v>
      </c>
    </row>
    <row r="71" spans="2:3">
      <c r="B71" s="856"/>
      <c r="C71" s="858" t="s">
        <v>271</v>
      </c>
    </row>
    <row r="72" spans="2:3">
      <c r="B72" s="856"/>
      <c r="C72" s="859"/>
    </row>
    <row r="73" spans="2:3" ht="30.75" thickBot="1">
      <c r="B73" s="857"/>
      <c r="C73" s="63" t="s">
        <v>313</v>
      </c>
    </row>
    <row r="74" spans="2:3" ht="30">
      <c r="B74" s="854" t="s">
        <v>273</v>
      </c>
      <c r="C74" s="150" t="s">
        <v>404</v>
      </c>
    </row>
    <row r="75" spans="2:3" ht="45">
      <c r="B75" s="856"/>
      <c r="C75" s="47" t="s">
        <v>285</v>
      </c>
    </row>
    <row r="76" spans="2:3" ht="30">
      <c r="B76" s="856"/>
      <c r="C76" s="45" t="s">
        <v>272</v>
      </c>
    </row>
    <row r="77" spans="2:3" ht="30">
      <c r="B77" s="856"/>
      <c r="C77" s="47" t="s">
        <v>286</v>
      </c>
    </row>
    <row r="78" spans="2:3" ht="30.75" thickBot="1">
      <c r="B78" s="861"/>
      <c r="C78" s="133" t="s">
        <v>287</v>
      </c>
    </row>
    <row r="79" spans="2:3" ht="30">
      <c r="B79" s="854" t="s">
        <v>278</v>
      </c>
      <c r="C79" s="150" t="s">
        <v>315</v>
      </c>
    </row>
    <row r="80" spans="2:3">
      <c r="B80" s="856"/>
      <c r="C80" s="858" t="s">
        <v>288</v>
      </c>
    </row>
    <row r="81" spans="2:3">
      <c r="B81" s="856"/>
      <c r="C81" s="859"/>
    </row>
    <row r="82" spans="2:3" ht="30">
      <c r="B82" s="856"/>
      <c r="C82" s="45" t="s">
        <v>274</v>
      </c>
    </row>
    <row r="83" spans="2:3" ht="30">
      <c r="B83" s="856"/>
      <c r="C83" s="47" t="s">
        <v>289</v>
      </c>
    </row>
    <row r="84" spans="2:3">
      <c r="B84" s="856"/>
      <c r="C84" s="45" t="s">
        <v>275</v>
      </c>
    </row>
    <row r="85" spans="2:3">
      <c r="B85" s="856"/>
      <c r="C85" s="47" t="s">
        <v>276</v>
      </c>
    </row>
    <row r="86" spans="2:3">
      <c r="B86" s="861"/>
      <c r="C86" s="860" t="s">
        <v>277</v>
      </c>
    </row>
    <row r="87" spans="2:3" ht="15.75" thickBot="1">
      <c r="B87" s="857"/>
      <c r="C87" s="862"/>
    </row>
  </sheetData>
  <mergeCells count="21">
    <mergeCell ref="B56:B61"/>
    <mergeCell ref="B62:B73"/>
    <mergeCell ref="C71:C72"/>
    <mergeCell ref="B74:B78"/>
    <mergeCell ref="B79:B87"/>
    <mergeCell ref="C80:C81"/>
    <mergeCell ref="C86:C87"/>
    <mergeCell ref="B43:B55"/>
    <mergeCell ref="C43:C44"/>
    <mergeCell ref="C50:C51"/>
    <mergeCell ref="B13:C13"/>
    <mergeCell ref="B15:B30"/>
    <mergeCell ref="C15:C16"/>
    <mergeCell ref="C17:C18"/>
    <mergeCell ref="C19:C20"/>
    <mergeCell ref="C21:C22"/>
    <mergeCell ref="B31:B42"/>
    <mergeCell ref="C32:C33"/>
    <mergeCell ref="C34:C35"/>
    <mergeCell ref="C36:C37"/>
    <mergeCell ref="C38:C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N172"/>
  <sheetViews>
    <sheetView showGridLines="0" view="pageBreakPreview" topLeftCell="D139" zoomScaleNormal="100" zoomScaleSheetLayoutView="100" workbookViewId="0">
      <selection activeCell="H145" sqref="H145"/>
    </sheetView>
  </sheetViews>
  <sheetFormatPr baseColWidth="10" defaultColWidth="0" defaultRowHeight="15"/>
  <cols>
    <col min="1" max="1" width="40.7109375" style="147" customWidth="1"/>
    <col min="2" max="2" width="32.85546875" style="8" customWidth="1"/>
    <col min="3" max="3" width="46.85546875" customWidth="1"/>
    <col min="4" max="4" width="26.85546875" style="183" customWidth="1"/>
    <col min="5" max="5" width="24.140625" style="230" customWidth="1"/>
    <col min="6" max="6" width="6.140625" style="183" customWidth="1"/>
    <col min="7" max="7" width="51.28515625" style="182" customWidth="1"/>
    <col min="8" max="8" width="3.42578125" style="183" customWidth="1"/>
    <col min="9" max="9" width="53.42578125" style="182" customWidth="1"/>
    <col min="10" max="10" width="3.140625" style="336" customWidth="1"/>
    <col min="11" max="13" width="3.140625" style="336" hidden="1" customWidth="1"/>
    <col min="14" max="14" width="2.7109375" style="336" hidden="1" customWidth="1"/>
    <col min="15" max="16384" width="11.42578125" style="336" hidden="1"/>
  </cols>
  <sheetData>
    <row r="1" spans="1:10" s="377" customFormat="1" ht="21.75" customHeight="1">
      <c r="A1" s="837" t="s">
        <v>663</v>
      </c>
      <c r="B1" s="837"/>
      <c r="C1" s="837"/>
      <c r="D1" s="837"/>
      <c r="E1" s="838" t="s">
        <v>708</v>
      </c>
      <c r="F1" s="838"/>
      <c r="G1" s="838"/>
      <c r="H1" s="838"/>
      <c r="I1" s="838"/>
      <c r="J1" s="376"/>
    </row>
    <row r="2" spans="1:10" ht="31.5" customHeight="1">
      <c r="A2" s="206" t="s">
        <v>707</v>
      </c>
      <c r="B2" s="206" t="s">
        <v>706</v>
      </c>
      <c r="C2" s="206" t="s">
        <v>705</v>
      </c>
      <c r="D2" s="206" t="s">
        <v>718</v>
      </c>
      <c r="E2" s="221" t="s">
        <v>577</v>
      </c>
      <c r="F2" s="839" t="s">
        <v>598</v>
      </c>
      <c r="G2" s="839"/>
      <c r="H2" s="839" t="s">
        <v>1167</v>
      </c>
      <c r="I2" s="839"/>
    </row>
    <row r="3" spans="1:10" ht="41.25" customHeight="1">
      <c r="A3" s="818" t="s">
        <v>712</v>
      </c>
      <c r="B3" s="818" t="s">
        <v>3</v>
      </c>
      <c r="C3" s="818" t="s">
        <v>934</v>
      </c>
      <c r="D3" s="820" t="s">
        <v>116</v>
      </c>
      <c r="E3" s="820" t="s">
        <v>576</v>
      </c>
      <c r="F3" s="823" t="s">
        <v>580</v>
      </c>
      <c r="G3" s="824" t="s">
        <v>579</v>
      </c>
      <c r="H3" s="383">
        <v>1</v>
      </c>
      <c r="I3" s="347" t="s">
        <v>1024</v>
      </c>
    </row>
    <row r="4" spans="1:10" ht="57.75" customHeight="1">
      <c r="A4" s="818"/>
      <c r="B4" s="818"/>
      <c r="C4" s="818"/>
      <c r="D4" s="820"/>
      <c r="E4" s="820"/>
      <c r="F4" s="823"/>
      <c r="G4" s="824"/>
      <c r="H4" s="383">
        <v>2</v>
      </c>
      <c r="I4" s="347" t="s">
        <v>857</v>
      </c>
    </row>
    <row r="5" spans="1:10" ht="30.75" customHeight="1">
      <c r="A5" s="818"/>
      <c r="B5" s="818"/>
      <c r="C5" s="818"/>
      <c r="D5" s="820"/>
      <c r="E5" s="820"/>
      <c r="F5" s="823"/>
      <c r="G5" s="824"/>
      <c r="H5" s="383">
        <v>3</v>
      </c>
      <c r="I5" s="347" t="s">
        <v>1157</v>
      </c>
    </row>
    <row r="6" spans="1:10" ht="76.5">
      <c r="A6" s="818"/>
      <c r="B6" s="818"/>
      <c r="C6" s="818"/>
      <c r="D6" s="820"/>
      <c r="E6" s="820"/>
      <c r="F6" s="823" t="s">
        <v>585</v>
      </c>
      <c r="G6" s="824" t="s">
        <v>858</v>
      </c>
      <c r="H6" s="383">
        <v>1</v>
      </c>
      <c r="I6" s="347" t="s">
        <v>564</v>
      </c>
    </row>
    <row r="7" spans="1:10" ht="66" customHeight="1">
      <c r="A7" s="818"/>
      <c r="B7" s="818"/>
      <c r="C7" s="818"/>
      <c r="D7" s="820"/>
      <c r="E7" s="820"/>
      <c r="F7" s="823"/>
      <c r="G7" s="824"/>
      <c r="H7" s="383">
        <v>2</v>
      </c>
      <c r="I7" s="347" t="s">
        <v>964</v>
      </c>
    </row>
    <row r="8" spans="1:10" ht="57.75" customHeight="1">
      <c r="A8" s="802" t="s">
        <v>712</v>
      </c>
      <c r="B8" s="802" t="s">
        <v>4</v>
      </c>
      <c r="C8" s="802" t="s">
        <v>675</v>
      </c>
      <c r="D8" s="819" t="s">
        <v>117</v>
      </c>
      <c r="E8" s="368" t="s">
        <v>576</v>
      </c>
      <c r="F8" s="365" t="s">
        <v>588</v>
      </c>
      <c r="G8" s="354" t="s">
        <v>590</v>
      </c>
      <c r="H8" s="349">
        <v>1</v>
      </c>
      <c r="I8" s="350" t="s">
        <v>759</v>
      </c>
    </row>
    <row r="9" spans="1:10" ht="54" customHeight="1">
      <c r="A9" s="802"/>
      <c r="B9" s="802"/>
      <c r="C9" s="802"/>
      <c r="D9" s="819"/>
      <c r="E9" s="368" t="s">
        <v>633</v>
      </c>
      <c r="F9" s="365" t="s">
        <v>638</v>
      </c>
      <c r="G9" s="354" t="s">
        <v>569</v>
      </c>
      <c r="H9" s="349">
        <v>1</v>
      </c>
      <c r="I9" s="350" t="s">
        <v>570</v>
      </c>
    </row>
    <row r="10" spans="1:10" ht="41.25" customHeight="1">
      <c r="A10" s="802"/>
      <c r="B10" s="802"/>
      <c r="C10" s="802"/>
      <c r="D10" s="819"/>
      <c r="E10" s="819" t="s">
        <v>273</v>
      </c>
      <c r="F10" s="821" t="s">
        <v>648</v>
      </c>
      <c r="G10" s="822" t="s">
        <v>968</v>
      </c>
      <c r="H10" s="349">
        <v>1</v>
      </c>
      <c r="I10" s="350" t="s">
        <v>970</v>
      </c>
    </row>
    <row r="11" spans="1:10" ht="30" customHeight="1">
      <c r="A11" s="802"/>
      <c r="B11" s="802"/>
      <c r="C11" s="802"/>
      <c r="D11" s="819"/>
      <c r="E11" s="819"/>
      <c r="F11" s="821"/>
      <c r="G11" s="822"/>
      <c r="H11" s="349">
        <v>2</v>
      </c>
      <c r="I11" s="350" t="s">
        <v>971</v>
      </c>
    </row>
    <row r="12" spans="1:10" ht="21.75" customHeight="1">
      <c r="A12" s="802"/>
      <c r="B12" s="802"/>
      <c r="C12" s="802"/>
      <c r="D12" s="819"/>
      <c r="E12" s="819"/>
      <c r="F12" s="821"/>
      <c r="G12" s="822"/>
      <c r="H12" s="349">
        <v>3</v>
      </c>
      <c r="I12" s="350" t="s">
        <v>1085</v>
      </c>
    </row>
    <row r="13" spans="1:10" ht="69.75" customHeight="1">
      <c r="A13" s="802"/>
      <c r="B13" s="802"/>
      <c r="C13" s="802"/>
      <c r="D13" s="819"/>
      <c r="E13" s="819"/>
      <c r="F13" s="821"/>
      <c r="G13" s="822"/>
      <c r="H13" s="375">
        <v>4</v>
      </c>
      <c r="I13" s="350" t="s">
        <v>1086</v>
      </c>
    </row>
    <row r="14" spans="1:10" ht="42" customHeight="1">
      <c r="A14" s="802"/>
      <c r="B14" s="802"/>
      <c r="C14" s="802"/>
      <c r="D14" s="819"/>
      <c r="E14" s="819"/>
      <c r="F14" s="821" t="s">
        <v>649</v>
      </c>
      <c r="G14" s="822" t="s">
        <v>975</v>
      </c>
      <c r="H14" s="349">
        <v>1</v>
      </c>
      <c r="I14" s="390" t="s">
        <v>978</v>
      </c>
    </row>
    <row r="15" spans="1:10" ht="48" customHeight="1">
      <c r="A15" s="802"/>
      <c r="B15" s="802"/>
      <c r="C15" s="802"/>
      <c r="D15" s="819"/>
      <c r="E15" s="819"/>
      <c r="F15" s="821"/>
      <c r="G15" s="822"/>
      <c r="H15" s="349">
        <v>2</v>
      </c>
      <c r="I15" s="350" t="s">
        <v>979</v>
      </c>
    </row>
    <row r="16" spans="1:10" ht="36.75" customHeight="1">
      <c r="A16" s="802"/>
      <c r="B16" s="802"/>
      <c r="C16" s="802"/>
      <c r="D16" s="819"/>
      <c r="E16" s="819"/>
      <c r="F16" s="821"/>
      <c r="G16" s="822"/>
      <c r="H16" s="349">
        <v>3</v>
      </c>
      <c r="I16" s="350" t="s">
        <v>980</v>
      </c>
    </row>
    <row r="17" spans="1:9" ht="37.5" customHeight="1">
      <c r="A17" s="802"/>
      <c r="B17" s="802"/>
      <c r="C17" s="802"/>
      <c r="D17" s="819"/>
      <c r="E17" s="819"/>
      <c r="F17" s="821"/>
      <c r="G17" s="822"/>
      <c r="H17" s="349">
        <v>4</v>
      </c>
      <c r="I17" s="350" t="s">
        <v>1104</v>
      </c>
    </row>
    <row r="18" spans="1:9" ht="60" customHeight="1">
      <c r="A18" s="818" t="s">
        <v>712</v>
      </c>
      <c r="B18" s="818" t="s">
        <v>5</v>
      </c>
      <c r="C18" s="818" t="s">
        <v>675</v>
      </c>
      <c r="D18" s="820" t="s">
        <v>720</v>
      </c>
      <c r="E18" s="820" t="s">
        <v>576</v>
      </c>
      <c r="F18" s="378" t="s">
        <v>588</v>
      </c>
      <c r="G18" s="379" t="s">
        <v>590</v>
      </c>
      <c r="H18" s="383">
        <v>1</v>
      </c>
      <c r="I18" s="347" t="s">
        <v>759</v>
      </c>
    </row>
    <row r="19" spans="1:9" ht="46.5" customHeight="1">
      <c r="A19" s="818"/>
      <c r="B19" s="818"/>
      <c r="C19" s="818"/>
      <c r="D19" s="820"/>
      <c r="E19" s="820"/>
      <c r="F19" s="378" t="s">
        <v>589</v>
      </c>
      <c r="G19" s="379" t="s">
        <v>592</v>
      </c>
      <c r="H19" s="383">
        <v>1</v>
      </c>
      <c r="I19" s="347" t="s">
        <v>593</v>
      </c>
    </row>
    <row r="20" spans="1:9" ht="60" customHeight="1">
      <c r="A20" s="818"/>
      <c r="B20" s="818"/>
      <c r="C20" s="818"/>
      <c r="D20" s="820"/>
      <c r="E20" s="387" t="s">
        <v>633</v>
      </c>
      <c r="F20" s="378" t="s">
        <v>638</v>
      </c>
      <c r="G20" s="379" t="s">
        <v>569</v>
      </c>
      <c r="H20" s="383">
        <v>1</v>
      </c>
      <c r="I20" s="347" t="s">
        <v>570</v>
      </c>
    </row>
    <row r="21" spans="1:9" ht="43.5" customHeight="1">
      <c r="A21" s="818"/>
      <c r="B21" s="818"/>
      <c r="C21" s="818"/>
      <c r="D21" s="820"/>
      <c r="E21" s="820" t="s">
        <v>273</v>
      </c>
      <c r="F21" s="823" t="s">
        <v>648</v>
      </c>
      <c r="G21" s="824" t="s">
        <v>968</v>
      </c>
      <c r="H21" s="383">
        <v>1</v>
      </c>
      <c r="I21" s="347" t="s">
        <v>970</v>
      </c>
    </row>
    <row r="22" spans="1:9" ht="35.25" customHeight="1">
      <c r="A22" s="818"/>
      <c r="B22" s="818"/>
      <c r="C22" s="818"/>
      <c r="D22" s="820"/>
      <c r="E22" s="820"/>
      <c r="F22" s="823"/>
      <c r="G22" s="824"/>
      <c r="H22" s="383">
        <v>2</v>
      </c>
      <c r="I22" s="347" t="s">
        <v>971</v>
      </c>
    </row>
    <row r="23" spans="1:9" ht="29.25" customHeight="1">
      <c r="A23" s="818"/>
      <c r="B23" s="818"/>
      <c r="C23" s="818"/>
      <c r="D23" s="820"/>
      <c r="E23" s="820"/>
      <c r="F23" s="823"/>
      <c r="G23" s="824"/>
      <c r="H23" s="383">
        <v>3</v>
      </c>
      <c r="I23" s="347" t="s">
        <v>1085</v>
      </c>
    </row>
    <row r="24" spans="1:9" ht="70.5" customHeight="1">
      <c r="A24" s="818"/>
      <c r="B24" s="818"/>
      <c r="C24" s="818"/>
      <c r="D24" s="820"/>
      <c r="E24" s="820"/>
      <c r="F24" s="823"/>
      <c r="G24" s="824"/>
      <c r="H24" s="388">
        <v>4</v>
      </c>
      <c r="I24" s="347" t="s">
        <v>1086</v>
      </c>
    </row>
    <row r="25" spans="1:9" ht="45.75" customHeight="1">
      <c r="A25" s="818"/>
      <c r="B25" s="818"/>
      <c r="C25" s="818"/>
      <c r="D25" s="820"/>
      <c r="E25" s="820"/>
      <c r="F25" s="823" t="s">
        <v>649</v>
      </c>
      <c r="G25" s="824" t="s">
        <v>975</v>
      </c>
      <c r="H25" s="383">
        <v>1</v>
      </c>
      <c r="I25" s="389" t="s">
        <v>978</v>
      </c>
    </row>
    <row r="26" spans="1:9" ht="52.5" customHeight="1">
      <c r="A26" s="818"/>
      <c r="B26" s="818"/>
      <c r="C26" s="818"/>
      <c r="D26" s="820"/>
      <c r="E26" s="820"/>
      <c r="F26" s="823"/>
      <c r="G26" s="824"/>
      <c r="H26" s="383">
        <v>2</v>
      </c>
      <c r="I26" s="347" t="s">
        <v>979</v>
      </c>
    </row>
    <row r="27" spans="1:9" ht="30" customHeight="1">
      <c r="A27" s="818"/>
      <c r="B27" s="818"/>
      <c r="C27" s="818"/>
      <c r="D27" s="820"/>
      <c r="E27" s="820"/>
      <c r="F27" s="823"/>
      <c r="G27" s="824"/>
      <c r="H27" s="383">
        <v>3</v>
      </c>
      <c r="I27" s="347" t="s">
        <v>980</v>
      </c>
    </row>
    <row r="28" spans="1:9" ht="32.25" customHeight="1">
      <c r="A28" s="818"/>
      <c r="B28" s="818"/>
      <c r="C28" s="818"/>
      <c r="D28" s="820"/>
      <c r="E28" s="820"/>
      <c r="F28" s="823"/>
      <c r="G28" s="824"/>
      <c r="H28" s="383">
        <v>4</v>
      </c>
      <c r="I28" s="347" t="s">
        <v>1104</v>
      </c>
    </row>
    <row r="29" spans="1:9" ht="55.5" customHeight="1">
      <c r="A29" s="802" t="s">
        <v>712</v>
      </c>
      <c r="B29" s="802" t="s">
        <v>6</v>
      </c>
      <c r="C29" s="802" t="s">
        <v>676</v>
      </c>
      <c r="D29" s="819" t="s">
        <v>119</v>
      </c>
      <c r="E29" s="819" t="s">
        <v>576</v>
      </c>
      <c r="F29" s="365" t="s">
        <v>588</v>
      </c>
      <c r="G29" s="354" t="s">
        <v>590</v>
      </c>
      <c r="H29" s="349">
        <v>1</v>
      </c>
      <c r="I29" s="350" t="s">
        <v>759</v>
      </c>
    </row>
    <row r="30" spans="1:9" ht="44.25" customHeight="1">
      <c r="A30" s="802"/>
      <c r="B30" s="802"/>
      <c r="C30" s="802"/>
      <c r="D30" s="819"/>
      <c r="E30" s="819"/>
      <c r="F30" s="365" t="s">
        <v>589</v>
      </c>
      <c r="G30" s="354" t="s">
        <v>592</v>
      </c>
      <c r="H30" s="349">
        <v>1</v>
      </c>
      <c r="I30" s="350" t="s">
        <v>593</v>
      </c>
    </row>
    <row r="31" spans="1:9" ht="56.25" customHeight="1">
      <c r="A31" s="802"/>
      <c r="B31" s="802"/>
      <c r="C31" s="802"/>
      <c r="D31" s="819"/>
      <c r="E31" s="368" t="s">
        <v>633</v>
      </c>
      <c r="F31" s="365" t="s">
        <v>638</v>
      </c>
      <c r="G31" s="354" t="s">
        <v>569</v>
      </c>
      <c r="H31" s="349">
        <v>1</v>
      </c>
      <c r="I31" s="350" t="s">
        <v>570</v>
      </c>
    </row>
    <row r="32" spans="1:9" ht="41.25" customHeight="1">
      <c r="A32" s="802"/>
      <c r="B32" s="802"/>
      <c r="C32" s="802"/>
      <c r="D32" s="819"/>
      <c r="E32" s="819" t="s">
        <v>273</v>
      </c>
      <c r="F32" s="821" t="s">
        <v>648</v>
      </c>
      <c r="G32" s="822" t="s">
        <v>968</v>
      </c>
      <c r="H32" s="349">
        <v>1</v>
      </c>
      <c r="I32" s="350" t="s">
        <v>970</v>
      </c>
    </row>
    <row r="33" spans="1:9" ht="32.25" customHeight="1">
      <c r="A33" s="802"/>
      <c r="B33" s="802"/>
      <c r="C33" s="802"/>
      <c r="D33" s="819"/>
      <c r="E33" s="819"/>
      <c r="F33" s="821"/>
      <c r="G33" s="822"/>
      <c r="H33" s="349">
        <v>2</v>
      </c>
      <c r="I33" s="350" t="s">
        <v>971</v>
      </c>
    </row>
    <row r="34" spans="1:9" ht="30.75" customHeight="1">
      <c r="A34" s="802"/>
      <c r="B34" s="802"/>
      <c r="C34" s="802"/>
      <c r="D34" s="819"/>
      <c r="E34" s="819"/>
      <c r="F34" s="821"/>
      <c r="G34" s="822"/>
      <c r="H34" s="349">
        <v>3</v>
      </c>
      <c r="I34" s="350" t="s">
        <v>1085</v>
      </c>
    </row>
    <row r="35" spans="1:9" ht="69.75" customHeight="1">
      <c r="A35" s="802"/>
      <c r="B35" s="802"/>
      <c r="C35" s="802"/>
      <c r="D35" s="819"/>
      <c r="E35" s="819"/>
      <c r="F35" s="821"/>
      <c r="G35" s="822"/>
      <c r="H35" s="375">
        <v>4</v>
      </c>
      <c r="I35" s="350" t="s">
        <v>1086</v>
      </c>
    </row>
    <row r="36" spans="1:9" ht="40.5" customHeight="1">
      <c r="A36" s="802"/>
      <c r="B36" s="802"/>
      <c r="C36" s="802"/>
      <c r="D36" s="819"/>
      <c r="E36" s="819"/>
      <c r="F36" s="821" t="s">
        <v>649</v>
      </c>
      <c r="G36" s="822" t="s">
        <v>975</v>
      </c>
      <c r="H36" s="349">
        <v>1</v>
      </c>
      <c r="I36" s="390" t="s">
        <v>978</v>
      </c>
    </row>
    <row r="37" spans="1:9" ht="46.5" customHeight="1">
      <c r="A37" s="802"/>
      <c r="B37" s="802"/>
      <c r="C37" s="802"/>
      <c r="D37" s="819"/>
      <c r="E37" s="819"/>
      <c r="F37" s="821"/>
      <c r="G37" s="822"/>
      <c r="H37" s="349">
        <v>2</v>
      </c>
      <c r="I37" s="350" t="s">
        <v>979</v>
      </c>
    </row>
    <row r="38" spans="1:9" ht="30" customHeight="1">
      <c r="A38" s="802"/>
      <c r="B38" s="802"/>
      <c r="C38" s="802"/>
      <c r="D38" s="819"/>
      <c r="E38" s="819"/>
      <c r="F38" s="821"/>
      <c r="G38" s="822"/>
      <c r="H38" s="349">
        <v>3</v>
      </c>
      <c r="I38" s="350" t="s">
        <v>980</v>
      </c>
    </row>
    <row r="39" spans="1:9" ht="31.5" customHeight="1">
      <c r="A39" s="802"/>
      <c r="B39" s="802"/>
      <c r="C39" s="802"/>
      <c r="D39" s="819"/>
      <c r="E39" s="819"/>
      <c r="F39" s="821"/>
      <c r="G39" s="822"/>
      <c r="H39" s="349">
        <v>4</v>
      </c>
      <c r="I39" s="350" t="s">
        <v>1104</v>
      </c>
    </row>
    <row r="40" spans="1:9" ht="76.5" customHeight="1">
      <c r="A40" s="363" t="s">
        <v>712</v>
      </c>
      <c r="B40" s="363" t="s">
        <v>7</v>
      </c>
      <c r="C40" s="363" t="s">
        <v>676</v>
      </c>
      <c r="D40" s="387" t="s">
        <v>120</v>
      </c>
      <c r="E40" s="387" t="s">
        <v>576</v>
      </c>
      <c r="F40" s="378" t="s">
        <v>589</v>
      </c>
      <c r="G40" s="379" t="s">
        <v>592</v>
      </c>
      <c r="H40" s="383">
        <v>1</v>
      </c>
      <c r="I40" s="347" t="s">
        <v>593</v>
      </c>
    </row>
    <row r="41" spans="1:9" ht="84.75" customHeight="1">
      <c r="A41" s="369" t="s">
        <v>712</v>
      </c>
      <c r="B41" s="369" t="s">
        <v>8</v>
      </c>
      <c r="C41" s="369" t="s">
        <v>677</v>
      </c>
      <c r="D41" s="368" t="s">
        <v>121</v>
      </c>
      <c r="E41" s="368" t="s">
        <v>252</v>
      </c>
      <c r="F41" s="365" t="s">
        <v>616</v>
      </c>
      <c r="G41" s="357" t="s">
        <v>617</v>
      </c>
      <c r="H41" s="360">
        <v>1</v>
      </c>
      <c r="I41" s="350" t="s">
        <v>529</v>
      </c>
    </row>
    <row r="42" spans="1:9" ht="83.25" customHeight="1">
      <c r="A42" s="363" t="s">
        <v>712</v>
      </c>
      <c r="B42" s="363" t="s">
        <v>665</v>
      </c>
      <c r="C42" s="363" t="s">
        <v>678</v>
      </c>
      <c r="D42" s="387" t="s">
        <v>721</v>
      </c>
      <c r="E42" s="387" t="s">
        <v>252</v>
      </c>
      <c r="F42" s="378" t="s">
        <v>616</v>
      </c>
      <c r="G42" s="382" t="s">
        <v>617</v>
      </c>
      <c r="H42" s="358">
        <v>1</v>
      </c>
      <c r="I42" s="347" t="s">
        <v>529</v>
      </c>
    </row>
    <row r="43" spans="1:9" ht="114.75">
      <c r="A43" s="369" t="s">
        <v>712</v>
      </c>
      <c r="B43" s="369" t="s">
        <v>9</v>
      </c>
      <c r="C43" s="369" t="s">
        <v>935</v>
      </c>
      <c r="D43" s="368" t="s">
        <v>722</v>
      </c>
      <c r="E43" s="368" t="s">
        <v>574</v>
      </c>
      <c r="F43" s="368" t="s">
        <v>652</v>
      </c>
      <c r="G43" s="369" t="s">
        <v>709</v>
      </c>
      <c r="H43" s="368">
        <v>1</v>
      </c>
      <c r="I43" s="369" t="s">
        <v>1007</v>
      </c>
    </row>
    <row r="44" spans="1:9" ht="114.75">
      <c r="A44" s="363" t="s">
        <v>712</v>
      </c>
      <c r="B44" s="363" t="s">
        <v>10</v>
      </c>
      <c r="C44" s="363" t="s">
        <v>680</v>
      </c>
      <c r="D44" s="387" t="s">
        <v>122</v>
      </c>
      <c r="E44" s="380" t="s">
        <v>574</v>
      </c>
      <c r="F44" s="387" t="s">
        <v>652</v>
      </c>
      <c r="G44" s="363" t="s">
        <v>709</v>
      </c>
      <c r="H44" s="387">
        <v>1</v>
      </c>
      <c r="I44" s="363" t="s">
        <v>1007</v>
      </c>
    </row>
    <row r="45" spans="1:9" ht="114.75">
      <c r="A45" s="369" t="s">
        <v>712</v>
      </c>
      <c r="B45" s="369" t="s">
        <v>314</v>
      </c>
      <c r="C45" s="369" t="s">
        <v>680</v>
      </c>
      <c r="D45" s="368" t="s">
        <v>123</v>
      </c>
      <c r="E45" s="370" t="s">
        <v>574</v>
      </c>
      <c r="F45" s="368" t="s">
        <v>652</v>
      </c>
      <c r="G45" s="369" t="s">
        <v>709</v>
      </c>
      <c r="H45" s="368">
        <v>1</v>
      </c>
      <c r="I45" s="369" t="s">
        <v>1007</v>
      </c>
    </row>
    <row r="46" spans="1:9" ht="114.75">
      <c r="A46" s="818" t="s">
        <v>712</v>
      </c>
      <c r="B46" s="818" t="s">
        <v>666</v>
      </c>
      <c r="C46" s="818" t="s">
        <v>679</v>
      </c>
      <c r="D46" s="820" t="s">
        <v>723</v>
      </c>
      <c r="E46" s="820" t="s">
        <v>574</v>
      </c>
      <c r="F46" s="387" t="s">
        <v>652</v>
      </c>
      <c r="G46" s="363" t="s">
        <v>709</v>
      </c>
      <c r="H46" s="387">
        <v>1</v>
      </c>
      <c r="I46" s="363" t="s">
        <v>1007</v>
      </c>
    </row>
    <row r="47" spans="1:9" ht="99" customHeight="1">
      <c r="A47" s="818"/>
      <c r="B47" s="818"/>
      <c r="C47" s="818"/>
      <c r="D47" s="820"/>
      <c r="E47" s="820"/>
      <c r="F47" s="378" t="s">
        <v>656</v>
      </c>
      <c r="G47" s="379" t="s">
        <v>710</v>
      </c>
      <c r="H47" s="383">
        <v>1</v>
      </c>
      <c r="I47" s="347" t="s">
        <v>510</v>
      </c>
    </row>
    <row r="48" spans="1:9" ht="156" customHeight="1">
      <c r="A48" s="369" t="s">
        <v>712</v>
      </c>
      <c r="B48" s="369" t="s">
        <v>11</v>
      </c>
      <c r="C48" s="369" t="s">
        <v>936</v>
      </c>
      <c r="D48" s="368" t="s">
        <v>124</v>
      </c>
      <c r="E48" s="368" t="s">
        <v>633</v>
      </c>
      <c r="F48" s="365" t="s">
        <v>641</v>
      </c>
      <c r="G48" s="354" t="s">
        <v>642</v>
      </c>
      <c r="H48" s="349">
        <v>1</v>
      </c>
      <c r="I48" s="350" t="s">
        <v>560</v>
      </c>
    </row>
    <row r="49" spans="1:9" ht="63.75">
      <c r="A49" s="818" t="s">
        <v>712</v>
      </c>
      <c r="B49" s="818" t="s">
        <v>667</v>
      </c>
      <c r="C49" s="818" t="s">
        <v>937</v>
      </c>
      <c r="D49" s="820" t="s">
        <v>724</v>
      </c>
      <c r="E49" s="820" t="s">
        <v>573</v>
      </c>
      <c r="F49" s="388" t="s">
        <v>626</v>
      </c>
      <c r="G49" s="389" t="s">
        <v>779</v>
      </c>
      <c r="H49" s="388">
        <v>1</v>
      </c>
      <c r="I49" s="363" t="s">
        <v>618</v>
      </c>
    </row>
    <row r="50" spans="1:9" ht="33.75" customHeight="1">
      <c r="A50" s="818"/>
      <c r="B50" s="818"/>
      <c r="C50" s="818"/>
      <c r="D50" s="820"/>
      <c r="E50" s="820"/>
      <c r="F50" s="823" t="s">
        <v>628</v>
      </c>
      <c r="G50" s="824" t="s">
        <v>711</v>
      </c>
      <c r="H50" s="383">
        <v>1</v>
      </c>
      <c r="I50" s="347" t="s">
        <v>622</v>
      </c>
    </row>
    <row r="51" spans="1:9" ht="33.75" customHeight="1">
      <c r="A51" s="818"/>
      <c r="B51" s="818"/>
      <c r="C51" s="818"/>
      <c r="D51" s="820"/>
      <c r="E51" s="820"/>
      <c r="F51" s="823"/>
      <c r="G51" s="824"/>
      <c r="H51" s="383">
        <v>2</v>
      </c>
      <c r="I51" s="347" t="s">
        <v>795</v>
      </c>
    </row>
    <row r="52" spans="1:9" ht="66.75" customHeight="1">
      <c r="A52" s="818"/>
      <c r="B52" s="818"/>
      <c r="C52" s="818"/>
      <c r="D52" s="820"/>
      <c r="E52" s="820"/>
      <c r="F52" s="820" t="s">
        <v>630</v>
      </c>
      <c r="G52" s="818" t="s">
        <v>631</v>
      </c>
      <c r="H52" s="387">
        <v>1</v>
      </c>
      <c r="I52" s="363" t="s">
        <v>806</v>
      </c>
    </row>
    <row r="53" spans="1:9" ht="67.5" customHeight="1">
      <c r="A53" s="818"/>
      <c r="B53" s="818"/>
      <c r="C53" s="818"/>
      <c r="D53" s="820"/>
      <c r="E53" s="820"/>
      <c r="F53" s="820"/>
      <c r="G53" s="818"/>
      <c r="H53" s="387">
        <v>2</v>
      </c>
      <c r="I53" s="363" t="s">
        <v>1137</v>
      </c>
    </row>
    <row r="54" spans="1:9" ht="27" customHeight="1">
      <c r="A54" s="802" t="s">
        <v>712</v>
      </c>
      <c r="B54" s="802" t="s">
        <v>12</v>
      </c>
      <c r="C54" s="802" t="s">
        <v>681</v>
      </c>
      <c r="D54" s="819" t="s">
        <v>725</v>
      </c>
      <c r="E54" s="819" t="s">
        <v>576</v>
      </c>
      <c r="F54" s="821" t="s">
        <v>591</v>
      </c>
      <c r="G54" s="822" t="s">
        <v>760</v>
      </c>
      <c r="H54" s="349">
        <v>1</v>
      </c>
      <c r="I54" s="350" t="s">
        <v>565</v>
      </c>
    </row>
    <row r="55" spans="1:9" ht="27" customHeight="1">
      <c r="A55" s="802"/>
      <c r="B55" s="802"/>
      <c r="C55" s="802"/>
      <c r="D55" s="819"/>
      <c r="E55" s="819"/>
      <c r="F55" s="821"/>
      <c r="G55" s="822"/>
      <c r="H55" s="349">
        <v>2</v>
      </c>
      <c r="I55" s="350" t="s">
        <v>559</v>
      </c>
    </row>
    <row r="56" spans="1:9" ht="42" customHeight="1">
      <c r="A56" s="802"/>
      <c r="B56" s="802"/>
      <c r="C56" s="802"/>
      <c r="D56" s="819"/>
      <c r="E56" s="819" t="s">
        <v>575</v>
      </c>
      <c r="F56" s="821" t="s">
        <v>600</v>
      </c>
      <c r="G56" s="822" t="s">
        <v>804</v>
      </c>
      <c r="H56" s="349">
        <v>1</v>
      </c>
      <c r="I56" s="350" t="s">
        <v>601</v>
      </c>
    </row>
    <row r="57" spans="1:9" ht="59.25" customHeight="1">
      <c r="A57" s="802"/>
      <c r="B57" s="802"/>
      <c r="C57" s="802"/>
      <c r="D57" s="819"/>
      <c r="E57" s="819"/>
      <c r="F57" s="821"/>
      <c r="G57" s="822"/>
      <c r="H57" s="349">
        <v>2</v>
      </c>
      <c r="I57" s="350" t="s">
        <v>602</v>
      </c>
    </row>
    <row r="58" spans="1:9" ht="29.25" customHeight="1">
      <c r="A58" s="802"/>
      <c r="B58" s="802"/>
      <c r="C58" s="802"/>
      <c r="D58" s="819"/>
      <c r="E58" s="819"/>
      <c r="F58" s="821"/>
      <c r="G58" s="822"/>
      <c r="H58" s="349">
        <v>3</v>
      </c>
      <c r="I58" s="350" t="s">
        <v>603</v>
      </c>
    </row>
    <row r="59" spans="1:9" ht="46.5" customHeight="1">
      <c r="A59" s="802"/>
      <c r="B59" s="802"/>
      <c r="C59" s="802"/>
      <c r="D59" s="819"/>
      <c r="E59" s="819"/>
      <c r="F59" s="819" t="s">
        <v>604</v>
      </c>
      <c r="G59" s="822" t="s">
        <v>609</v>
      </c>
      <c r="H59" s="349">
        <v>1</v>
      </c>
      <c r="I59" s="350" t="s">
        <v>748</v>
      </c>
    </row>
    <row r="60" spans="1:9" ht="44.25" customHeight="1">
      <c r="A60" s="802"/>
      <c r="B60" s="802"/>
      <c r="C60" s="802"/>
      <c r="D60" s="819"/>
      <c r="E60" s="819"/>
      <c r="F60" s="819"/>
      <c r="G60" s="822"/>
      <c r="H60" s="349">
        <v>2</v>
      </c>
      <c r="I60" s="350" t="s">
        <v>867</v>
      </c>
    </row>
    <row r="61" spans="1:9" ht="75.75" customHeight="1">
      <c r="A61" s="802"/>
      <c r="B61" s="802"/>
      <c r="C61" s="802"/>
      <c r="D61" s="819"/>
      <c r="E61" s="819"/>
      <c r="F61" s="821" t="s">
        <v>605</v>
      </c>
      <c r="G61" s="822" t="s">
        <v>621</v>
      </c>
      <c r="H61" s="349">
        <v>1</v>
      </c>
      <c r="I61" s="350" t="s">
        <v>1029</v>
      </c>
    </row>
    <row r="62" spans="1:9" ht="33" customHeight="1">
      <c r="A62" s="802"/>
      <c r="B62" s="802"/>
      <c r="C62" s="802"/>
      <c r="D62" s="819"/>
      <c r="E62" s="819"/>
      <c r="F62" s="821"/>
      <c r="G62" s="822"/>
      <c r="H62" s="349">
        <v>2</v>
      </c>
      <c r="I62" s="350" t="s">
        <v>1030</v>
      </c>
    </row>
    <row r="63" spans="1:9" ht="56.25" customHeight="1">
      <c r="A63" s="818" t="s">
        <v>713</v>
      </c>
      <c r="B63" s="818" t="s">
        <v>37</v>
      </c>
      <c r="C63" s="818" t="s">
        <v>682</v>
      </c>
      <c r="D63" s="820" t="s">
        <v>126</v>
      </c>
      <c r="E63" s="820" t="s">
        <v>576</v>
      </c>
      <c r="F63" s="378" t="s">
        <v>580</v>
      </c>
      <c r="G63" s="379" t="s">
        <v>579</v>
      </c>
      <c r="H63" s="383">
        <v>3</v>
      </c>
      <c r="I63" s="347" t="s">
        <v>1021</v>
      </c>
    </row>
    <row r="64" spans="1:9" ht="63" customHeight="1">
      <c r="A64" s="818"/>
      <c r="B64" s="818"/>
      <c r="C64" s="818"/>
      <c r="D64" s="820"/>
      <c r="E64" s="820"/>
      <c r="F64" s="823" t="s">
        <v>586</v>
      </c>
      <c r="G64" s="824" t="s">
        <v>961</v>
      </c>
      <c r="H64" s="383">
        <v>1</v>
      </c>
      <c r="I64" s="347" t="s">
        <v>558</v>
      </c>
    </row>
    <row r="65" spans="1:9" ht="84.75" customHeight="1">
      <c r="A65" s="818"/>
      <c r="B65" s="818"/>
      <c r="C65" s="818"/>
      <c r="D65" s="820"/>
      <c r="E65" s="820"/>
      <c r="F65" s="823"/>
      <c r="G65" s="824"/>
      <c r="H65" s="383">
        <v>2</v>
      </c>
      <c r="I65" s="347" t="s">
        <v>1105</v>
      </c>
    </row>
    <row r="66" spans="1:9" ht="109.5" customHeight="1">
      <c r="A66" s="369" t="s">
        <v>713</v>
      </c>
      <c r="B66" s="369" t="s">
        <v>668</v>
      </c>
      <c r="C66" s="369" t="s">
        <v>938</v>
      </c>
      <c r="D66" s="368" t="s">
        <v>726</v>
      </c>
      <c r="E66" s="368" t="s">
        <v>573</v>
      </c>
      <c r="F66" s="407" t="s">
        <v>630</v>
      </c>
      <c r="G66" s="354" t="s">
        <v>631</v>
      </c>
      <c r="H66" s="373">
        <v>2</v>
      </c>
      <c r="I66" s="354" t="s">
        <v>1038</v>
      </c>
    </row>
    <row r="67" spans="1:9" ht="76.5" customHeight="1">
      <c r="A67" s="363" t="s">
        <v>713</v>
      </c>
      <c r="B67" s="363" t="s">
        <v>416</v>
      </c>
      <c r="C67" s="363" t="s">
        <v>683</v>
      </c>
      <c r="D67" s="387" t="s">
        <v>128</v>
      </c>
      <c r="E67" s="387" t="s">
        <v>633</v>
      </c>
      <c r="F67" s="378" t="s">
        <v>634</v>
      </c>
      <c r="G67" s="379" t="s">
        <v>998</v>
      </c>
      <c r="H67" s="383">
        <v>1</v>
      </c>
      <c r="I67" s="347" t="s">
        <v>993</v>
      </c>
    </row>
    <row r="68" spans="1:9" ht="114.75">
      <c r="A68" s="369" t="s">
        <v>713</v>
      </c>
      <c r="B68" s="369" t="s">
        <v>225</v>
      </c>
      <c r="C68" s="369" t="s">
        <v>684</v>
      </c>
      <c r="D68" s="368" t="s">
        <v>129</v>
      </c>
      <c r="E68" s="368" t="s">
        <v>633</v>
      </c>
      <c r="F68" s="365" t="s">
        <v>636</v>
      </c>
      <c r="G68" s="354" t="s">
        <v>870</v>
      </c>
      <c r="H68" s="349">
        <v>1</v>
      </c>
      <c r="I68" s="350" t="s">
        <v>639</v>
      </c>
    </row>
    <row r="69" spans="1:9" ht="58.5" customHeight="1">
      <c r="A69" s="818" t="s">
        <v>713</v>
      </c>
      <c r="B69" s="818" t="s">
        <v>47</v>
      </c>
      <c r="C69" s="818" t="s">
        <v>685</v>
      </c>
      <c r="D69" s="820" t="s">
        <v>131</v>
      </c>
      <c r="E69" s="820" t="s">
        <v>573</v>
      </c>
      <c r="F69" s="842" t="s">
        <v>626</v>
      </c>
      <c r="G69" s="843" t="s">
        <v>624</v>
      </c>
      <c r="H69" s="388">
        <v>1</v>
      </c>
      <c r="I69" s="363" t="s">
        <v>618</v>
      </c>
    </row>
    <row r="70" spans="1:9" ht="47.25" customHeight="1">
      <c r="A70" s="818"/>
      <c r="B70" s="818"/>
      <c r="C70" s="818"/>
      <c r="D70" s="820"/>
      <c r="E70" s="820"/>
      <c r="F70" s="842"/>
      <c r="G70" s="843"/>
      <c r="H70" s="387">
        <v>2</v>
      </c>
      <c r="I70" s="363" t="s">
        <v>619</v>
      </c>
    </row>
    <row r="71" spans="1:9" ht="63" customHeight="1">
      <c r="A71" s="818"/>
      <c r="B71" s="818"/>
      <c r="C71" s="818"/>
      <c r="D71" s="820"/>
      <c r="E71" s="820"/>
      <c r="F71" s="378" t="s">
        <v>629</v>
      </c>
      <c r="G71" s="379" t="s">
        <v>623</v>
      </c>
      <c r="H71" s="383">
        <v>1</v>
      </c>
      <c r="I71" s="347" t="s">
        <v>781</v>
      </c>
    </row>
    <row r="72" spans="1:9" ht="72.75" customHeight="1">
      <c r="A72" s="818"/>
      <c r="B72" s="818"/>
      <c r="C72" s="818"/>
      <c r="D72" s="820"/>
      <c r="E72" s="820"/>
      <c r="F72" s="387" t="s">
        <v>630</v>
      </c>
      <c r="G72" s="389" t="s">
        <v>631</v>
      </c>
      <c r="H72" s="387">
        <v>1</v>
      </c>
      <c r="I72" s="363" t="s">
        <v>806</v>
      </c>
    </row>
    <row r="73" spans="1:9" ht="49.5" customHeight="1">
      <c r="A73" s="818"/>
      <c r="B73" s="818"/>
      <c r="C73" s="818"/>
      <c r="D73" s="820"/>
      <c r="E73" s="820"/>
      <c r="F73" s="378" t="s">
        <v>632</v>
      </c>
      <c r="G73" s="379" t="s">
        <v>1125</v>
      </c>
      <c r="H73" s="383">
        <v>1</v>
      </c>
      <c r="I73" s="386" t="s">
        <v>1051</v>
      </c>
    </row>
    <row r="74" spans="1:9" ht="51" customHeight="1">
      <c r="A74" s="802" t="s">
        <v>714</v>
      </c>
      <c r="B74" s="802" t="s">
        <v>669</v>
      </c>
      <c r="C74" s="802" t="s">
        <v>686</v>
      </c>
      <c r="D74" s="819" t="s">
        <v>727</v>
      </c>
      <c r="E74" s="819" t="s">
        <v>574</v>
      </c>
      <c r="F74" s="365" t="s">
        <v>653</v>
      </c>
      <c r="G74" s="354" t="s">
        <v>799</v>
      </c>
      <c r="H74" s="349">
        <v>1</v>
      </c>
      <c r="I74" s="350" t="s">
        <v>798</v>
      </c>
    </row>
    <row r="75" spans="1:9" ht="51" customHeight="1">
      <c r="A75" s="802"/>
      <c r="B75" s="802"/>
      <c r="C75" s="802"/>
      <c r="D75" s="819"/>
      <c r="E75" s="819"/>
      <c r="F75" s="365" t="s">
        <v>654</v>
      </c>
      <c r="G75" s="354" t="s">
        <v>860</v>
      </c>
      <c r="H75" s="349">
        <v>1</v>
      </c>
      <c r="I75" s="350" t="s">
        <v>800</v>
      </c>
    </row>
    <row r="76" spans="1:9" ht="110.25" customHeight="1">
      <c r="A76" s="363" t="s">
        <v>714</v>
      </c>
      <c r="B76" s="363" t="s">
        <v>670</v>
      </c>
      <c r="C76" s="363" t="s">
        <v>687</v>
      </c>
      <c r="D76" s="387" t="s">
        <v>728</v>
      </c>
      <c r="E76" s="387" t="s">
        <v>252</v>
      </c>
      <c r="F76" s="388" t="s">
        <v>615</v>
      </c>
      <c r="G76" s="389" t="s">
        <v>1062</v>
      </c>
      <c r="H76" s="388">
        <v>1</v>
      </c>
      <c r="I76" s="389" t="s">
        <v>771</v>
      </c>
    </row>
    <row r="77" spans="1:9" ht="58.5" customHeight="1">
      <c r="A77" s="802" t="s">
        <v>714</v>
      </c>
      <c r="B77" s="802" t="s">
        <v>58</v>
      </c>
      <c r="C77" s="802" t="s">
        <v>688</v>
      </c>
      <c r="D77" s="819" t="s">
        <v>132</v>
      </c>
      <c r="E77" s="819" t="s">
        <v>252</v>
      </c>
      <c r="F77" s="825" t="s">
        <v>611</v>
      </c>
      <c r="G77" s="836" t="s">
        <v>1060</v>
      </c>
      <c r="H77" s="349">
        <v>1</v>
      </c>
      <c r="I77" s="350" t="s">
        <v>1018</v>
      </c>
    </row>
    <row r="78" spans="1:9" ht="66" customHeight="1">
      <c r="A78" s="802"/>
      <c r="B78" s="802"/>
      <c r="C78" s="802"/>
      <c r="D78" s="819"/>
      <c r="E78" s="819"/>
      <c r="F78" s="825"/>
      <c r="G78" s="836"/>
      <c r="H78" s="349">
        <v>2</v>
      </c>
      <c r="I78" s="350" t="s">
        <v>1061</v>
      </c>
    </row>
    <row r="79" spans="1:9" ht="45.75" customHeight="1">
      <c r="A79" s="802"/>
      <c r="B79" s="802"/>
      <c r="C79" s="802"/>
      <c r="D79" s="819"/>
      <c r="E79" s="819"/>
      <c r="F79" s="365" t="s">
        <v>613</v>
      </c>
      <c r="G79" s="354" t="s">
        <v>769</v>
      </c>
      <c r="H79" s="360">
        <v>1</v>
      </c>
      <c r="I79" s="350" t="s">
        <v>1108</v>
      </c>
    </row>
    <row r="80" spans="1:9" ht="72" customHeight="1">
      <c r="A80" s="802"/>
      <c r="B80" s="802"/>
      <c r="C80" s="802"/>
      <c r="D80" s="819"/>
      <c r="E80" s="819"/>
      <c r="F80" s="365" t="s">
        <v>614</v>
      </c>
      <c r="G80" s="357" t="s">
        <v>808</v>
      </c>
      <c r="H80" s="360">
        <v>1</v>
      </c>
      <c r="I80" s="374" t="s">
        <v>833</v>
      </c>
    </row>
    <row r="81" spans="1:9" ht="111.75" customHeight="1">
      <c r="A81" s="802"/>
      <c r="B81" s="802"/>
      <c r="C81" s="802"/>
      <c r="D81" s="819"/>
      <c r="E81" s="819"/>
      <c r="F81" s="375" t="s">
        <v>615</v>
      </c>
      <c r="G81" s="390" t="s">
        <v>1062</v>
      </c>
      <c r="H81" s="375">
        <v>1</v>
      </c>
      <c r="I81" s="390" t="s">
        <v>771</v>
      </c>
    </row>
    <row r="82" spans="1:9" ht="117" customHeight="1">
      <c r="A82" s="363" t="s">
        <v>714</v>
      </c>
      <c r="B82" s="363" t="s">
        <v>671</v>
      </c>
      <c r="C82" s="363" t="s">
        <v>689</v>
      </c>
      <c r="D82" s="387" t="s">
        <v>729</v>
      </c>
      <c r="E82" s="387" t="s">
        <v>252</v>
      </c>
      <c r="F82" s="388" t="s">
        <v>611</v>
      </c>
      <c r="G82" s="389" t="s">
        <v>1060</v>
      </c>
      <c r="H82" s="388">
        <v>3</v>
      </c>
      <c r="I82" s="381" t="s">
        <v>1019</v>
      </c>
    </row>
    <row r="83" spans="1:9" ht="102">
      <c r="A83" s="369" t="s">
        <v>714</v>
      </c>
      <c r="B83" s="369" t="s">
        <v>664</v>
      </c>
      <c r="C83" s="369" t="s">
        <v>690</v>
      </c>
      <c r="D83" s="368" t="s">
        <v>134</v>
      </c>
      <c r="E83" s="368" t="s">
        <v>252</v>
      </c>
      <c r="F83" s="375" t="s">
        <v>616</v>
      </c>
      <c r="G83" s="390" t="s">
        <v>1141</v>
      </c>
      <c r="H83" s="368">
        <v>1</v>
      </c>
      <c r="I83" s="369" t="s">
        <v>529</v>
      </c>
    </row>
    <row r="84" spans="1:9" ht="114" customHeight="1">
      <c r="A84" s="818" t="s">
        <v>714</v>
      </c>
      <c r="B84" s="818" t="s">
        <v>68</v>
      </c>
      <c r="C84" s="818" t="s">
        <v>691</v>
      </c>
      <c r="D84" s="820" t="s">
        <v>136</v>
      </c>
      <c r="E84" s="820" t="s">
        <v>252</v>
      </c>
      <c r="F84" s="388" t="s">
        <v>611</v>
      </c>
      <c r="G84" s="389" t="s">
        <v>1060</v>
      </c>
      <c r="H84" s="388">
        <v>3</v>
      </c>
      <c r="I84" s="389" t="s">
        <v>1019</v>
      </c>
    </row>
    <row r="85" spans="1:9" ht="67.5" customHeight="1">
      <c r="A85" s="818"/>
      <c r="B85" s="818"/>
      <c r="C85" s="818"/>
      <c r="D85" s="820"/>
      <c r="E85" s="820"/>
      <c r="F85" s="378" t="s">
        <v>612</v>
      </c>
      <c r="G85" s="382" t="s">
        <v>567</v>
      </c>
      <c r="H85" s="358">
        <v>1</v>
      </c>
      <c r="I85" s="347" t="s">
        <v>568</v>
      </c>
    </row>
    <row r="86" spans="1:9" ht="43.5" customHeight="1">
      <c r="A86" s="818"/>
      <c r="B86" s="818"/>
      <c r="C86" s="818"/>
      <c r="D86" s="820"/>
      <c r="E86" s="387" t="s">
        <v>273</v>
      </c>
      <c r="F86" s="378" t="s">
        <v>651</v>
      </c>
      <c r="G86" s="379" t="s">
        <v>658</v>
      </c>
      <c r="H86" s="383">
        <v>1</v>
      </c>
      <c r="I86" s="347" t="s">
        <v>796</v>
      </c>
    </row>
    <row r="87" spans="1:9" ht="39.75" customHeight="1">
      <c r="A87" s="802" t="s">
        <v>714</v>
      </c>
      <c r="B87" s="802" t="s">
        <v>298</v>
      </c>
      <c r="C87" s="802" t="s">
        <v>692</v>
      </c>
      <c r="D87" s="819" t="s">
        <v>138</v>
      </c>
      <c r="E87" s="819" t="s">
        <v>576</v>
      </c>
      <c r="F87" s="821" t="s">
        <v>591</v>
      </c>
      <c r="G87" s="822" t="s">
        <v>760</v>
      </c>
      <c r="H87" s="349">
        <v>1</v>
      </c>
      <c r="I87" s="350" t="s">
        <v>565</v>
      </c>
    </row>
    <row r="88" spans="1:9" ht="39.75" customHeight="1">
      <c r="A88" s="802"/>
      <c r="B88" s="802"/>
      <c r="C88" s="802"/>
      <c r="D88" s="819"/>
      <c r="E88" s="819"/>
      <c r="F88" s="821"/>
      <c r="G88" s="822"/>
      <c r="H88" s="349">
        <v>2</v>
      </c>
      <c r="I88" s="350" t="s">
        <v>559</v>
      </c>
    </row>
    <row r="89" spans="1:9" ht="30.75" customHeight="1">
      <c r="A89" s="818" t="s">
        <v>715</v>
      </c>
      <c r="B89" s="818" t="s">
        <v>76</v>
      </c>
      <c r="C89" s="818" t="s">
        <v>693</v>
      </c>
      <c r="D89" s="820" t="s">
        <v>730</v>
      </c>
      <c r="E89" s="815" t="s">
        <v>273</v>
      </c>
      <c r="F89" s="823" t="s">
        <v>647</v>
      </c>
      <c r="G89" s="824" t="s">
        <v>981</v>
      </c>
      <c r="H89" s="383">
        <v>1</v>
      </c>
      <c r="I89" s="347" t="s">
        <v>794</v>
      </c>
    </row>
    <row r="90" spans="1:9" ht="32.25" customHeight="1">
      <c r="A90" s="818"/>
      <c r="B90" s="818"/>
      <c r="C90" s="818"/>
      <c r="D90" s="820"/>
      <c r="E90" s="816"/>
      <c r="F90" s="823"/>
      <c r="G90" s="824"/>
      <c r="H90" s="383">
        <v>2</v>
      </c>
      <c r="I90" s="347" t="s">
        <v>985</v>
      </c>
    </row>
    <row r="91" spans="1:9" ht="45.75" customHeight="1">
      <c r="A91" s="818"/>
      <c r="B91" s="818"/>
      <c r="C91" s="818"/>
      <c r="D91" s="820"/>
      <c r="E91" s="816"/>
      <c r="F91" s="823"/>
      <c r="G91" s="824"/>
      <c r="H91" s="383">
        <v>3</v>
      </c>
      <c r="I91" s="347" t="s">
        <v>987</v>
      </c>
    </row>
    <row r="92" spans="1:9" ht="33.75" customHeight="1">
      <c r="A92" s="818"/>
      <c r="B92" s="818"/>
      <c r="C92" s="818"/>
      <c r="D92" s="820"/>
      <c r="E92" s="816"/>
      <c r="F92" s="823"/>
      <c r="G92" s="824"/>
      <c r="H92" s="388">
        <v>4</v>
      </c>
      <c r="I92" s="363" t="s">
        <v>988</v>
      </c>
    </row>
    <row r="93" spans="1:9" ht="42.75" customHeight="1">
      <c r="A93" s="818"/>
      <c r="B93" s="818"/>
      <c r="C93" s="818"/>
      <c r="D93" s="820"/>
      <c r="E93" s="816"/>
      <c r="F93" s="823" t="s">
        <v>648</v>
      </c>
      <c r="G93" s="824" t="s">
        <v>968</v>
      </c>
      <c r="H93" s="383">
        <v>1</v>
      </c>
      <c r="I93" s="347" t="s">
        <v>970</v>
      </c>
    </row>
    <row r="94" spans="1:9" ht="35.25" customHeight="1">
      <c r="A94" s="818"/>
      <c r="B94" s="818"/>
      <c r="C94" s="818"/>
      <c r="D94" s="820"/>
      <c r="E94" s="816"/>
      <c r="F94" s="823"/>
      <c r="G94" s="824"/>
      <c r="H94" s="383">
        <v>2</v>
      </c>
      <c r="I94" s="347" t="s">
        <v>971</v>
      </c>
    </row>
    <row r="95" spans="1:9" ht="20.25" customHeight="1">
      <c r="A95" s="818"/>
      <c r="B95" s="818"/>
      <c r="C95" s="818"/>
      <c r="D95" s="820"/>
      <c r="E95" s="816"/>
      <c r="F95" s="823"/>
      <c r="G95" s="824"/>
      <c r="H95" s="383">
        <v>3</v>
      </c>
      <c r="I95" s="347" t="s">
        <v>1085</v>
      </c>
    </row>
    <row r="96" spans="1:9" ht="69.75" customHeight="1">
      <c r="A96" s="818"/>
      <c r="B96" s="818"/>
      <c r="C96" s="818"/>
      <c r="D96" s="820"/>
      <c r="E96" s="816"/>
      <c r="F96" s="823"/>
      <c r="G96" s="824"/>
      <c r="H96" s="388">
        <v>4</v>
      </c>
      <c r="I96" s="347" t="s">
        <v>1086</v>
      </c>
    </row>
    <row r="97" spans="1:9" ht="45.75" customHeight="1">
      <c r="A97" s="818"/>
      <c r="B97" s="818"/>
      <c r="C97" s="818"/>
      <c r="D97" s="820"/>
      <c r="E97" s="816"/>
      <c r="F97" s="823" t="s">
        <v>649</v>
      </c>
      <c r="G97" s="824" t="s">
        <v>975</v>
      </c>
      <c r="H97" s="383">
        <v>1</v>
      </c>
      <c r="I97" s="389" t="s">
        <v>978</v>
      </c>
    </row>
    <row r="98" spans="1:9" ht="42.75" customHeight="1">
      <c r="A98" s="818"/>
      <c r="B98" s="818"/>
      <c r="C98" s="818"/>
      <c r="D98" s="820"/>
      <c r="E98" s="816"/>
      <c r="F98" s="823"/>
      <c r="G98" s="824"/>
      <c r="H98" s="383">
        <v>2</v>
      </c>
      <c r="I98" s="347" t="s">
        <v>979</v>
      </c>
    </row>
    <row r="99" spans="1:9" ht="32.25" customHeight="1">
      <c r="A99" s="818"/>
      <c r="B99" s="818"/>
      <c r="C99" s="818"/>
      <c r="D99" s="820"/>
      <c r="E99" s="816"/>
      <c r="F99" s="823"/>
      <c r="G99" s="824"/>
      <c r="H99" s="383">
        <v>3</v>
      </c>
      <c r="I99" s="347" t="s">
        <v>980</v>
      </c>
    </row>
    <row r="100" spans="1:9" ht="32.25" customHeight="1">
      <c r="A100" s="818"/>
      <c r="B100" s="818"/>
      <c r="C100" s="818"/>
      <c r="D100" s="820"/>
      <c r="E100" s="816"/>
      <c r="F100" s="823"/>
      <c r="G100" s="824"/>
      <c r="H100" s="383">
        <v>4</v>
      </c>
      <c r="I100" s="347" t="s">
        <v>1104</v>
      </c>
    </row>
    <row r="101" spans="1:9" ht="41.25" customHeight="1">
      <c r="A101" s="818"/>
      <c r="B101" s="818"/>
      <c r="C101" s="818"/>
      <c r="D101" s="820"/>
      <c r="E101" s="816"/>
      <c r="F101" s="823" t="s">
        <v>650</v>
      </c>
      <c r="G101" s="824" t="s">
        <v>974</v>
      </c>
      <c r="H101" s="385">
        <v>1</v>
      </c>
      <c r="I101" s="386" t="s">
        <v>1158</v>
      </c>
    </row>
    <row r="102" spans="1:9" ht="34.5" customHeight="1">
      <c r="A102" s="818"/>
      <c r="B102" s="818"/>
      <c r="C102" s="818"/>
      <c r="D102" s="820"/>
      <c r="E102" s="816"/>
      <c r="F102" s="823"/>
      <c r="G102" s="824"/>
      <c r="H102" s="383">
        <v>2</v>
      </c>
      <c r="I102" s="386" t="s">
        <v>659</v>
      </c>
    </row>
    <row r="103" spans="1:9" ht="41.25" customHeight="1">
      <c r="A103" s="818"/>
      <c r="B103" s="818"/>
      <c r="C103" s="818"/>
      <c r="D103" s="820"/>
      <c r="E103" s="817"/>
      <c r="F103" s="378" t="s">
        <v>651</v>
      </c>
      <c r="G103" s="379" t="s">
        <v>658</v>
      </c>
      <c r="H103" s="383">
        <v>1</v>
      </c>
      <c r="I103" s="347" t="s">
        <v>796</v>
      </c>
    </row>
    <row r="104" spans="1:9" ht="38.25" customHeight="1">
      <c r="A104" s="802" t="s">
        <v>715</v>
      </c>
      <c r="B104" s="802" t="s">
        <v>80</v>
      </c>
      <c r="C104" s="802" t="s">
        <v>694</v>
      </c>
      <c r="D104" s="819" t="s">
        <v>139</v>
      </c>
      <c r="E104" s="819" t="s">
        <v>273</v>
      </c>
      <c r="F104" s="821" t="s">
        <v>647</v>
      </c>
      <c r="G104" s="822" t="s">
        <v>981</v>
      </c>
      <c r="H104" s="349">
        <v>1</v>
      </c>
      <c r="I104" s="350" t="s">
        <v>794</v>
      </c>
    </row>
    <row r="105" spans="1:9" ht="33.75" customHeight="1">
      <c r="A105" s="802"/>
      <c r="B105" s="802"/>
      <c r="C105" s="802"/>
      <c r="D105" s="819"/>
      <c r="E105" s="819"/>
      <c r="F105" s="821"/>
      <c r="G105" s="822"/>
      <c r="H105" s="349">
        <v>2</v>
      </c>
      <c r="I105" s="350" t="s">
        <v>985</v>
      </c>
    </row>
    <row r="106" spans="1:9" ht="41.25" customHeight="1">
      <c r="A106" s="802"/>
      <c r="B106" s="802"/>
      <c r="C106" s="802"/>
      <c r="D106" s="819"/>
      <c r="E106" s="819"/>
      <c r="F106" s="821"/>
      <c r="G106" s="822"/>
      <c r="H106" s="349">
        <v>3</v>
      </c>
      <c r="I106" s="350" t="s">
        <v>987</v>
      </c>
    </row>
    <row r="107" spans="1:9" ht="38.25" customHeight="1">
      <c r="A107" s="802"/>
      <c r="B107" s="802"/>
      <c r="C107" s="802"/>
      <c r="D107" s="819"/>
      <c r="E107" s="819"/>
      <c r="F107" s="821"/>
      <c r="G107" s="822"/>
      <c r="H107" s="375">
        <v>4</v>
      </c>
      <c r="I107" s="369" t="s">
        <v>988</v>
      </c>
    </row>
    <row r="108" spans="1:9" ht="53.25" customHeight="1">
      <c r="A108" s="818" t="s">
        <v>715</v>
      </c>
      <c r="B108" s="818" t="s">
        <v>81</v>
      </c>
      <c r="C108" s="818" t="s">
        <v>695</v>
      </c>
      <c r="D108" s="820" t="s">
        <v>141</v>
      </c>
      <c r="E108" s="820" t="s">
        <v>573</v>
      </c>
      <c r="F108" s="387" t="s">
        <v>625</v>
      </c>
      <c r="G108" s="363" t="s">
        <v>775</v>
      </c>
      <c r="H108" s="388">
        <v>2</v>
      </c>
      <c r="I108" s="363" t="s">
        <v>1072</v>
      </c>
    </row>
    <row r="109" spans="1:9" ht="63.75">
      <c r="A109" s="818"/>
      <c r="B109" s="818"/>
      <c r="C109" s="818"/>
      <c r="D109" s="820"/>
      <c r="E109" s="820"/>
      <c r="F109" s="387" t="s">
        <v>626</v>
      </c>
      <c r="G109" s="363" t="s">
        <v>779</v>
      </c>
      <c r="H109" s="388">
        <v>2</v>
      </c>
      <c r="I109" s="363" t="s">
        <v>785</v>
      </c>
    </row>
    <row r="110" spans="1:9" ht="67.5" customHeight="1">
      <c r="A110" s="818"/>
      <c r="B110" s="818"/>
      <c r="C110" s="818"/>
      <c r="D110" s="820"/>
      <c r="E110" s="820"/>
      <c r="F110" s="378" t="s">
        <v>627</v>
      </c>
      <c r="G110" s="379" t="s">
        <v>805</v>
      </c>
      <c r="H110" s="385">
        <v>1</v>
      </c>
      <c r="I110" s="386" t="s">
        <v>780</v>
      </c>
    </row>
    <row r="111" spans="1:9" ht="40.5" customHeight="1">
      <c r="A111" s="802" t="s">
        <v>715</v>
      </c>
      <c r="B111" s="802" t="s">
        <v>305</v>
      </c>
      <c r="C111" s="802" t="s">
        <v>696</v>
      </c>
      <c r="D111" s="819" t="s">
        <v>142</v>
      </c>
      <c r="E111" s="819" t="s">
        <v>573</v>
      </c>
      <c r="F111" s="825" t="s">
        <v>625</v>
      </c>
      <c r="G111" s="836" t="s">
        <v>775</v>
      </c>
      <c r="H111" s="375">
        <v>1</v>
      </c>
      <c r="I111" s="369" t="s">
        <v>774</v>
      </c>
    </row>
    <row r="112" spans="1:9" ht="40.5" customHeight="1">
      <c r="A112" s="802"/>
      <c r="B112" s="802"/>
      <c r="C112" s="802"/>
      <c r="D112" s="819"/>
      <c r="E112" s="819"/>
      <c r="F112" s="825"/>
      <c r="G112" s="836"/>
      <c r="H112" s="375">
        <v>2</v>
      </c>
      <c r="I112" s="369" t="s">
        <v>1072</v>
      </c>
    </row>
    <row r="113" spans="1:9" ht="60.75" customHeight="1">
      <c r="A113" s="818" t="s">
        <v>715</v>
      </c>
      <c r="B113" s="818" t="s">
        <v>86</v>
      </c>
      <c r="C113" s="818" t="s">
        <v>697</v>
      </c>
      <c r="D113" s="820" t="s">
        <v>143</v>
      </c>
      <c r="E113" s="820" t="s">
        <v>576</v>
      </c>
      <c r="F113" s="823" t="s">
        <v>587</v>
      </c>
      <c r="G113" s="824" t="s">
        <v>734</v>
      </c>
      <c r="H113" s="383">
        <v>1</v>
      </c>
      <c r="I113" s="347" t="s">
        <v>803</v>
      </c>
    </row>
    <row r="114" spans="1:9" ht="45" customHeight="1">
      <c r="A114" s="818"/>
      <c r="B114" s="818"/>
      <c r="C114" s="818"/>
      <c r="D114" s="820"/>
      <c r="E114" s="820"/>
      <c r="F114" s="823"/>
      <c r="G114" s="824"/>
      <c r="H114" s="383">
        <v>2</v>
      </c>
      <c r="I114" s="347" t="s">
        <v>1025</v>
      </c>
    </row>
    <row r="115" spans="1:9" ht="51">
      <c r="A115" s="802" t="s">
        <v>715</v>
      </c>
      <c r="B115" s="802" t="s">
        <v>87</v>
      </c>
      <c r="C115" s="802" t="s">
        <v>939</v>
      </c>
      <c r="D115" s="819" t="s">
        <v>145</v>
      </c>
      <c r="E115" s="368" t="s">
        <v>633</v>
      </c>
      <c r="F115" s="365" t="s">
        <v>636</v>
      </c>
      <c r="G115" s="354" t="s">
        <v>870</v>
      </c>
      <c r="H115" s="349">
        <v>1</v>
      </c>
      <c r="I115" s="350" t="s">
        <v>1159</v>
      </c>
    </row>
    <row r="116" spans="1:9" ht="43.5" customHeight="1">
      <c r="A116" s="802"/>
      <c r="B116" s="802"/>
      <c r="C116" s="802"/>
      <c r="D116" s="819"/>
      <c r="E116" s="368" t="s">
        <v>273</v>
      </c>
      <c r="F116" s="375" t="s">
        <v>650</v>
      </c>
      <c r="G116" s="390" t="s">
        <v>974</v>
      </c>
      <c r="H116" s="368">
        <v>2</v>
      </c>
      <c r="I116" s="369" t="s">
        <v>659</v>
      </c>
    </row>
    <row r="117" spans="1:9" ht="90" customHeight="1">
      <c r="A117" s="363" t="s">
        <v>717</v>
      </c>
      <c r="B117" s="363" t="s">
        <v>672</v>
      </c>
      <c r="C117" s="363" t="s">
        <v>698</v>
      </c>
      <c r="D117" s="387" t="s">
        <v>731</v>
      </c>
      <c r="E117" s="387" t="s">
        <v>633</v>
      </c>
      <c r="F117" s="388" t="s">
        <v>741</v>
      </c>
      <c r="G117" s="389" t="s">
        <v>646</v>
      </c>
      <c r="H117" s="387">
        <v>3</v>
      </c>
      <c r="I117" s="363" t="s">
        <v>644</v>
      </c>
    </row>
    <row r="118" spans="1:9" ht="60.75" customHeight="1">
      <c r="A118" s="369" t="s">
        <v>717</v>
      </c>
      <c r="B118" s="369" t="s">
        <v>673</v>
      </c>
      <c r="C118" s="369" t="s">
        <v>699</v>
      </c>
      <c r="D118" s="368" t="s">
        <v>732</v>
      </c>
      <c r="E118" s="368" t="s">
        <v>633</v>
      </c>
      <c r="F118" s="375" t="s">
        <v>741</v>
      </c>
      <c r="G118" s="390" t="s">
        <v>646</v>
      </c>
      <c r="H118" s="368">
        <v>3</v>
      </c>
      <c r="I118" s="369" t="s">
        <v>644</v>
      </c>
    </row>
    <row r="119" spans="1:9" ht="56.25" customHeight="1">
      <c r="A119" s="818" t="s">
        <v>717</v>
      </c>
      <c r="B119" s="818" t="s">
        <v>92</v>
      </c>
      <c r="C119" s="818" t="s">
        <v>699</v>
      </c>
      <c r="D119" s="820" t="s">
        <v>147</v>
      </c>
      <c r="E119" s="820" t="s">
        <v>576</v>
      </c>
      <c r="F119" s="823" t="s">
        <v>595</v>
      </c>
      <c r="G119" s="824" t="s">
        <v>850</v>
      </c>
      <c r="H119" s="358">
        <v>1</v>
      </c>
      <c r="I119" s="359" t="s">
        <v>887</v>
      </c>
    </row>
    <row r="120" spans="1:9" ht="47.25" customHeight="1">
      <c r="A120" s="818"/>
      <c r="B120" s="818"/>
      <c r="C120" s="818"/>
      <c r="D120" s="820"/>
      <c r="E120" s="820"/>
      <c r="F120" s="823"/>
      <c r="G120" s="824"/>
      <c r="H120" s="383">
        <v>2</v>
      </c>
      <c r="I120" s="347" t="s">
        <v>851</v>
      </c>
    </row>
    <row r="121" spans="1:9" ht="26.1" customHeight="1">
      <c r="A121" s="818"/>
      <c r="B121" s="818"/>
      <c r="C121" s="818"/>
      <c r="D121" s="820"/>
      <c r="E121" s="820" t="s">
        <v>575</v>
      </c>
      <c r="F121" s="823" t="s">
        <v>610</v>
      </c>
      <c r="G121" s="824" t="s">
        <v>884</v>
      </c>
      <c r="H121" s="383">
        <v>1</v>
      </c>
      <c r="I121" s="347" t="s">
        <v>1035</v>
      </c>
    </row>
    <row r="122" spans="1:9" ht="38.1" customHeight="1">
      <c r="A122" s="818"/>
      <c r="B122" s="818"/>
      <c r="C122" s="818"/>
      <c r="D122" s="820"/>
      <c r="E122" s="820"/>
      <c r="F122" s="823"/>
      <c r="G122" s="824"/>
      <c r="H122" s="383">
        <v>2</v>
      </c>
      <c r="I122" s="347" t="s">
        <v>1036</v>
      </c>
    </row>
    <row r="123" spans="1:9" ht="79.5" customHeight="1">
      <c r="A123" s="802" t="s">
        <v>717</v>
      </c>
      <c r="B123" s="802" t="s">
        <v>674</v>
      </c>
      <c r="C123" s="802" t="s">
        <v>700</v>
      </c>
      <c r="D123" s="819" t="s">
        <v>149</v>
      </c>
      <c r="E123" s="819" t="s">
        <v>575</v>
      </c>
      <c r="F123" s="821" t="s">
        <v>604</v>
      </c>
      <c r="G123" s="822" t="s">
        <v>609</v>
      </c>
      <c r="H123" s="349">
        <v>1</v>
      </c>
      <c r="I123" s="350" t="s">
        <v>748</v>
      </c>
    </row>
    <row r="124" spans="1:9" ht="79.5" customHeight="1">
      <c r="A124" s="802"/>
      <c r="B124" s="802"/>
      <c r="C124" s="802"/>
      <c r="D124" s="819"/>
      <c r="E124" s="819"/>
      <c r="F124" s="821"/>
      <c r="G124" s="822"/>
      <c r="H124" s="349">
        <v>2</v>
      </c>
      <c r="I124" s="350" t="s">
        <v>867</v>
      </c>
    </row>
    <row r="125" spans="1:9" ht="201" customHeight="1">
      <c r="A125" s="363" t="s">
        <v>717</v>
      </c>
      <c r="B125" s="363" t="s">
        <v>100</v>
      </c>
      <c r="C125" s="363" t="s">
        <v>940</v>
      </c>
      <c r="D125" s="387" t="s">
        <v>150</v>
      </c>
      <c r="E125" s="387" t="s">
        <v>633</v>
      </c>
      <c r="F125" s="388" t="s">
        <v>741</v>
      </c>
      <c r="G125" s="389" t="s">
        <v>646</v>
      </c>
      <c r="H125" s="387">
        <v>5</v>
      </c>
      <c r="I125" s="363" t="s">
        <v>1004</v>
      </c>
    </row>
    <row r="126" spans="1:9" ht="38.25">
      <c r="A126" s="802" t="s">
        <v>717</v>
      </c>
      <c r="B126" s="802" t="s">
        <v>105</v>
      </c>
      <c r="C126" s="802" t="s">
        <v>701</v>
      </c>
      <c r="D126" s="819" t="s">
        <v>151</v>
      </c>
      <c r="E126" s="819" t="s">
        <v>575</v>
      </c>
      <c r="F126" s="834" t="s">
        <v>608</v>
      </c>
      <c r="G126" s="835" t="s">
        <v>966</v>
      </c>
      <c r="H126" s="391">
        <v>1</v>
      </c>
      <c r="I126" s="392" t="s">
        <v>1000</v>
      </c>
    </row>
    <row r="127" spans="1:9" ht="38.25">
      <c r="A127" s="802"/>
      <c r="B127" s="802"/>
      <c r="C127" s="802"/>
      <c r="D127" s="819"/>
      <c r="E127" s="819"/>
      <c r="F127" s="834"/>
      <c r="G127" s="835"/>
      <c r="H127" s="391">
        <v>2</v>
      </c>
      <c r="I127" s="392" t="s">
        <v>1001</v>
      </c>
    </row>
    <row r="128" spans="1:9" ht="38.25">
      <c r="A128" s="802"/>
      <c r="B128" s="802"/>
      <c r="C128" s="802"/>
      <c r="D128" s="819"/>
      <c r="E128" s="819"/>
      <c r="F128" s="834"/>
      <c r="G128" s="835"/>
      <c r="H128" s="375">
        <v>3</v>
      </c>
      <c r="I128" s="369" t="s">
        <v>1002</v>
      </c>
    </row>
    <row r="129" spans="1:9" ht="42.75" customHeight="1">
      <c r="A129" s="818" t="s">
        <v>717</v>
      </c>
      <c r="B129" s="818" t="s">
        <v>106</v>
      </c>
      <c r="C129" s="818" t="s">
        <v>701</v>
      </c>
      <c r="D129" s="820" t="s">
        <v>733</v>
      </c>
      <c r="E129" s="820" t="s">
        <v>575</v>
      </c>
      <c r="F129" s="820" t="s">
        <v>608</v>
      </c>
      <c r="G129" s="818" t="s">
        <v>966</v>
      </c>
      <c r="H129" s="383">
        <v>1</v>
      </c>
      <c r="I129" s="347" t="s">
        <v>1000</v>
      </c>
    </row>
    <row r="130" spans="1:9" ht="38.25" customHeight="1">
      <c r="A130" s="818"/>
      <c r="B130" s="818"/>
      <c r="C130" s="818"/>
      <c r="D130" s="820"/>
      <c r="E130" s="820"/>
      <c r="F130" s="820"/>
      <c r="G130" s="818"/>
      <c r="H130" s="383">
        <v>2</v>
      </c>
      <c r="I130" s="347" t="s">
        <v>1001</v>
      </c>
    </row>
    <row r="131" spans="1:9" ht="38.25">
      <c r="A131" s="818"/>
      <c r="B131" s="818"/>
      <c r="C131" s="818"/>
      <c r="D131" s="820"/>
      <c r="E131" s="820"/>
      <c r="F131" s="820"/>
      <c r="G131" s="818"/>
      <c r="H131" s="388">
        <v>3</v>
      </c>
      <c r="I131" s="363" t="s">
        <v>1002</v>
      </c>
    </row>
    <row r="132" spans="1:9" ht="46.5" customHeight="1">
      <c r="A132" s="802" t="s">
        <v>717</v>
      </c>
      <c r="B132" s="802" t="s">
        <v>107</v>
      </c>
      <c r="C132" s="802" t="s">
        <v>702</v>
      </c>
      <c r="D132" s="819" t="s">
        <v>152</v>
      </c>
      <c r="E132" s="819" t="s">
        <v>575</v>
      </c>
      <c r="F132" s="821" t="s">
        <v>604</v>
      </c>
      <c r="G132" s="822" t="s">
        <v>609</v>
      </c>
      <c r="H132" s="349">
        <v>1</v>
      </c>
      <c r="I132" s="350" t="s">
        <v>748</v>
      </c>
    </row>
    <row r="133" spans="1:9" ht="46.5" customHeight="1">
      <c r="A133" s="802"/>
      <c r="B133" s="802"/>
      <c r="C133" s="802"/>
      <c r="D133" s="819"/>
      <c r="E133" s="819"/>
      <c r="F133" s="821"/>
      <c r="G133" s="822"/>
      <c r="H133" s="349">
        <v>2</v>
      </c>
      <c r="I133" s="350" t="s">
        <v>867</v>
      </c>
    </row>
    <row r="134" spans="1:9" ht="69" customHeight="1">
      <c r="A134" s="802"/>
      <c r="B134" s="802"/>
      <c r="C134" s="802"/>
      <c r="D134" s="819"/>
      <c r="E134" s="819"/>
      <c r="F134" s="821" t="s">
        <v>605</v>
      </c>
      <c r="G134" s="822" t="s">
        <v>621</v>
      </c>
      <c r="H134" s="349">
        <v>1</v>
      </c>
      <c r="I134" s="350" t="s">
        <v>1029</v>
      </c>
    </row>
    <row r="135" spans="1:9" ht="30.75" customHeight="1">
      <c r="A135" s="802"/>
      <c r="B135" s="802"/>
      <c r="C135" s="802"/>
      <c r="D135" s="819"/>
      <c r="E135" s="819"/>
      <c r="F135" s="821"/>
      <c r="G135" s="822"/>
      <c r="H135" s="349">
        <v>2</v>
      </c>
      <c r="I135" s="350" t="s">
        <v>1030</v>
      </c>
    </row>
    <row r="136" spans="1:9" ht="30.95" customHeight="1">
      <c r="A136" s="818" t="s">
        <v>717</v>
      </c>
      <c r="B136" s="818" t="s">
        <v>108</v>
      </c>
      <c r="C136" s="818" t="s">
        <v>703</v>
      </c>
      <c r="D136" s="820" t="s">
        <v>153</v>
      </c>
      <c r="E136" s="820" t="s">
        <v>575</v>
      </c>
      <c r="F136" s="823" t="s">
        <v>610</v>
      </c>
      <c r="G136" s="824" t="s">
        <v>884</v>
      </c>
      <c r="H136" s="383">
        <v>1</v>
      </c>
      <c r="I136" s="347" t="s">
        <v>1035</v>
      </c>
    </row>
    <row r="137" spans="1:9" ht="63" customHeight="1">
      <c r="A137" s="818"/>
      <c r="B137" s="818"/>
      <c r="C137" s="818"/>
      <c r="D137" s="820"/>
      <c r="E137" s="820"/>
      <c r="F137" s="823"/>
      <c r="G137" s="824"/>
      <c r="H137" s="383">
        <v>2</v>
      </c>
      <c r="I137" s="347" t="s">
        <v>1036</v>
      </c>
    </row>
    <row r="138" spans="1:9" ht="52.5" customHeight="1">
      <c r="A138" s="802" t="s">
        <v>717</v>
      </c>
      <c r="B138" s="802" t="s">
        <v>716</v>
      </c>
      <c r="C138" s="802" t="s">
        <v>704</v>
      </c>
      <c r="D138" s="819" t="s">
        <v>736</v>
      </c>
      <c r="E138" s="819" t="s">
        <v>633</v>
      </c>
      <c r="F138" s="825" t="s">
        <v>741</v>
      </c>
      <c r="G138" s="802" t="s">
        <v>646</v>
      </c>
      <c r="H138" s="349">
        <v>3</v>
      </c>
      <c r="I138" s="350" t="s">
        <v>645</v>
      </c>
    </row>
    <row r="139" spans="1:9" ht="52.5" customHeight="1">
      <c r="A139" s="802"/>
      <c r="B139" s="802"/>
      <c r="C139" s="802"/>
      <c r="D139" s="819"/>
      <c r="E139" s="819"/>
      <c r="F139" s="825"/>
      <c r="G139" s="802"/>
      <c r="H139" s="349">
        <v>5</v>
      </c>
      <c r="I139" s="350" t="s">
        <v>1004</v>
      </c>
    </row>
    <row r="140" spans="1:9">
      <c r="E140" s="227"/>
      <c r="F140" s="324"/>
      <c r="G140" s="228"/>
      <c r="H140" s="228"/>
      <c r="I140" s="228"/>
    </row>
    <row r="141" spans="1:9">
      <c r="E141" s="227"/>
      <c r="F141" s="324"/>
      <c r="G141" s="228"/>
      <c r="H141" s="228"/>
      <c r="I141" s="228"/>
    </row>
    <row r="142" spans="1:9">
      <c r="E142" s="227"/>
      <c r="F142" s="324"/>
      <c r="G142" s="228"/>
      <c r="H142" s="228"/>
      <c r="I142" s="228"/>
    </row>
    <row r="143" spans="1:9">
      <c r="E143" s="829" t="s">
        <v>889</v>
      </c>
      <c r="F143" s="829"/>
      <c r="G143" s="829"/>
      <c r="H143" s="829"/>
      <c r="I143" s="829"/>
    </row>
    <row r="144" spans="1:9">
      <c r="E144" s="229" t="s">
        <v>577</v>
      </c>
      <c r="F144" s="830" t="s">
        <v>2</v>
      </c>
      <c r="G144" s="831"/>
      <c r="H144" s="830" t="s">
        <v>1167</v>
      </c>
      <c r="I144" s="831"/>
    </row>
    <row r="145" spans="5:9" ht="45.75" customHeight="1">
      <c r="E145" s="803" t="s">
        <v>576</v>
      </c>
      <c r="F145" s="827" t="s">
        <v>581</v>
      </c>
      <c r="G145" s="828" t="s">
        <v>582</v>
      </c>
      <c r="H145" s="342">
        <v>1</v>
      </c>
      <c r="I145" s="343" t="s">
        <v>562</v>
      </c>
    </row>
    <row r="146" spans="5:9" ht="43.5" customHeight="1">
      <c r="E146" s="804"/>
      <c r="F146" s="827"/>
      <c r="G146" s="828"/>
      <c r="H146" s="342">
        <v>2</v>
      </c>
      <c r="I146" s="343" t="s">
        <v>563</v>
      </c>
    </row>
    <row r="147" spans="5:9" ht="68.25" customHeight="1">
      <c r="E147" s="805"/>
      <c r="F147" s="394" t="s">
        <v>594</v>
      </c>
      <c r="G147" s="341" t="s">
        <v>596</v>
      </c>
      <c r="H147" s="332">
        <v>1</v>
      </c>
      <c r="I147" s="331" t="s">
        <v>566</v>
      </c>
    </row>
    <row r="148" spans="5:9" ht="49.5" customHeight="1">
      <c r="E148" s="806" t="s">
        <v>575</v>
      </c>
      <c r="F148" s="832" t="s">
        <v>606</v>
      </c>
      <c r="G148" s="833" t="s">
        <v>719</v>
      </c>
      <c r="H148" s="398">
        <v>1</v>
      </c>
      <c r="I148" s="399" t="s">
        <v>735</v>
      </c>
    </row>
    <row r="149" spans="5:9" ht="40.5" customHeight="1">
      <c r="E149" s="807"/>
      <c r="F149" s="832"/>
      <c r="G149" s="833"/>
      <c r="H149" s="398">
        <v>2</v>
      </c>
      <c r="I149" s="399" t="s">
        <v>751</v>
      </c>
    </row>
    <row r="150" spans="5:9" ht="48" customHeight="1">
      <c r="E150" s="807"/>
      <c r="F150" s="832" t="s">
        <v>607</v>
      </c>
      <c r="G150" s="833" t="s">
        <v>1037</v>
      </c>
      <c r="H150" s="398">
        <v>1</v>
      </c>
      <c r="I150" s="399" t="s">
        <v>1032</v>
      </c>
    </row>
    <row r="151" spans="5:9" ht="32.25" customHeight="1">
      <c r="E151" s="808"/>
      <c r="F151" s="832"/>
      <c r="G151" s="833"/>
      <c r="H151" s="398">
        <v>2</v>
      </c>
      <c r="I151" s="399" t="s">
        <v>1033</v>
      </c>
    </row>
    <row r="152" spans="5:9" ht="51" customHeight="1">
      <c r="E152" s="809" t="s">
        <v>573</v>
      </c>
      <c r="F152" s="394" t="s">
        <v>620</v>
      </c>
      <c r="G152" s="341" t="s">
        <v>765</v>
      </c>
      <c r="H152" s="342">
        <v>1</v>
      </c>
      <c r="I152" s="343" t="s">
        <v>784</v>
      </c>
    </row>
    <row r="153" spans="5:9" ht="45.75" customHeight="1">
      <c r="E153" s="810"/>
      <c r="F153" s="827" t="s">
        <v>802</v>
      </c>
      <c r="G153" s="828" t="s">
        <v>1169</v>
      </c>
      <c r="H153" s="342">
        <v>1</v>
      </c>
      <c r="I153" s="333" t="s">
        <v>814</v>
      </c>
    </row>
    <row r="154" spans="5:9" ht="32.25" customHeight="1">
      <c r="E154" s="810"/>
      <c r="F154" s="827"/>
      <c r="G154" s="828"/>
      <c r="H154" s="342">
        <v>2</v>
      </c>
      <c r="I154" s="343" t="s">
        <v>817</v>
      </c>
    </row>
    <row r="155" spans="5:9" ht="43.5" customHeight="1">
      <c r="E155" s="810"/>
      <c r="F155" s="827"/>
      <c r="G155" s="828"/>
      <c r="H155" s="342">
        <v>3</v>
      </c>
      <c r="I155" s="333" t="s">
        <v>813</v>
      </c>
    </row>
    <row r="156" spans="5:9" ht="30.75" customHeight="1">
      <c r="E156" s="810"/>
      <c r="F156" s="827"/>
      <c r="G156" s="828"/>
      <c r="H156" s="342">
        <v>4</v>
      </c>
      <c r="I156" s="343" t="s">
        <v>810</v>
      </c>
    </row>
    <row r="157" spans="5:9" ht="44.25" customHeight="1">
      <c r="E157" s="810"/>
      <c r="F157" s="827"/>
      <c r="G157" s="828"/>
      <c r="H157" s="342">
        <v>5</v>
      </c>
      <c r="I157" s="343" t="s">
        <v>815</v>
      </c>
    </row>
    <row r="158" spans="5:9" ht="44.25" customHeight="1">
      <c r="E158" s="810"/>
      <c r="F158" s="827"/>
      <c r="G158" s="828"/>
      <c r="H158" s="332">
        <v>6</v>
      </c>
      <c r="I158" s="331" t="s">
        <v>1109</v>
      </c>
    </row>
    <row r="159" spans="5:9" ht="58.5" customHeight="1">
      <c r="E159" s="810"/>
      <c r="F159" s="827" t="s">
        <v>818</v>
      </c>
      <c r="G159" s="828" t="s">
        <v>821</v>
      </c>
      <c r="H159" s="342">
        <v>1</v>
      </c>
      <c r="I159" s="343" t="s">
        <v>822</v>
      </c>
    </row>
    <row r="160" spans="5:9" ht="71.25" customHeight="1">
      <c r="E160" s="811"/>
      <c r="F160" s="827"/>
      <c r="G160" s="828"/>
      <c r="H160" s="342">
        <v>2</v>
      </c>
      <c r="I160" s="343" t="s">
        <v>820</v>
      </c>
    </row>
    <row r="161" spans="5:9" ht="47.25" customHeight="1">
      <c r="E161" s="812" t="s">
        <v>633</v>
      </c>
      <c r="F161" s="400" t="s">
        <v>635</v>
      </c>
      <c r="G161" s="401" t="s">
        <v>637</v>
      </c>
      <c r="H161" s="398">
        <v>1</v>
      </c>
      <c r="I161" s="399" t="s">
        <v>1042</v>
      </c>
    </row>
    <row r="162" spans="5:9" ht="69.75" customHeight="1">
      <c r="E162" s="813"/>
      <c r="F162" s="832" t="s">
        <v>640</v>
      </c>
      <c r="G162" s="833" t="s">
        <v>1092</v>
      </c>
      <c r="H162" s="398">
        <v>1</v>
      </c>
      <c r="I162" s="399" t="s">
        <v>447</v>
      </c>
    </row>
    <row r="163" spans="5:9" ht="33.75" customHeight="1">
      <c r="E163" s="813"/>
      <c r="F163" s="832"/>
      <c r="G163" s="833"/>
      <c r="H163" s="398">
        <v>2</v>
      </c>
      <c r="I163" s="399" t="s">
        <v>426</v>
      </c>
    </row>
    <row r="164" spans="5:9" ht="34.5" customHeight="1">
      <c r="E164" s="813"/>
      <c r="F164" s="832"/>
      <c r="G164" s="833"/>
      <c r="H164" s="398">
        <v>3</v>
      </c>
      <c r="I164" s="402" t="s">
        <v>429</v>
      </c>
    </row>
    <row r="165" spans="5:9" ht="96.75" customHeight="1">
      <c r="E165" s="813"/>
      <c r="F165" s="832"/>
      <c r="G165" s="833"/>
      <c r="H165" s="398">
        <v>4</v>
      </c>
      <c r="I165" s="404" t="s">
        <v>997</v>
      </c>
    </row>
    <row r="166" spans="5:9" ht="43.5" customHeight="1">
      <c r="E166" s="813"/>
      <c r="F166" s="844" t="s">
        <v>741</v>
      </c>
      <c r="G166" s="826" t="s">
        <v>646</v>
      </c>
      <c r="H166" s="398">
        <v>1</v>
      </c>
      <c r="I166" s="399" t="s">
        <v>643</v>
      </c>
    </row>
    <row r="167" spans="5:9" ht="43.5" customHeight="1">
      <c r="E167" s="813"/>
      <c r="F167" s="844"/>
      <c r="G167" s="826"/>
      <c r="H167" s="398">
        <v>2</v>
      </c>
      <c r="I167" s="399" t="s">
        <v>644</v>
      </c>
    </row>
    <row r="168" spans="5:9" ht="97.5" customHeight="1">
      <c r="E168" s="814"/>
      <c r="F168" s="844"/>
      <c r="G168" s="826"/>
      <c r="H168" s="405">
        <v>4</v>
      </c>
      <c r="I168" s="404" t="s">
        <v>1083</v>
      </c>
    </row>
    <row r="169" spans="5:9" ht="43.5" customHeight="1">
      <c r="E169" s="803" t="s">
        <v>574</v>
      </c>
      <c r="F169" s="840" t="s">
        <v>655</v>
      </c>
      <c r="G169" s="841" t="s">
        <v>555</v>
      </c>
      <c r="H169" s="332">
        <v>1</v>
      </c>
      <c r="I169" s="331" t="s">
        <v>1088</v>
      </c>
    </row>
    <row r="170" spans="5:9" ht="33.75" customHeight="1">
      <c r="E170" s="805"/>
      <c r="F170" s="840"/>
      <c r="G170" s="841"/>
      <c r="H170" s="332">
        <v>2</v>
      </c>
      <c r="I170" s="331" t="s">
        <v>963</v>
      </c>
    </row>
    <row r="172" spans="5:9">
      <c r="F172" s="183">
        <v>11</v>
      </c>
      <c r="H172" s="183">
        <v>26</v>
      </c>
    </row>
  </sheetData>
  <autoFilter ref="A2:I140" xr:uid="{00000000-0009-0000-0000-000004000000}"/>
  <mergeCells count="229">
    <mergeCell ref="E161:E168"/>
    <mergeCell ref="F162:F165"/>
    <mergeCell ref="G162:G165"/>
    <mergeCell ref="F166:F168"/>
    <mergeCell ref="G166:G168"/>
    <mergeCell ref="E169:E170"/>
    <mergeCell ref="F169:F170"/>
    <mergeCell ref="G169:G170"/>
    <mergeCell ref="E148:E151"/>
    <mergeCell ref="F148:F149"/>
    <mergeCell ref="G148:G149"/>
    <mergeCell ref="F150:F151"/>
    <mergeCell ref="G150:G151"/>
    <mergeCell ref="E152:E160"/>
    <mergeCell ref="F153:F158"/>
    <mergeCell ref="G153:G158"/>
    <mergeCell ref="F159:F160"/>
    <mergeCell ref="G159:G160"/>
    <mergeCell ref="E143:I143"/>
    <mergeCell ref="F144:G144"/>
    <mergeCell ref="H144:I144"/>
    <mergeCell ref="E145:E147"/>
    <mergeCell ref="F145:F146"/>
    <mergeCell ref="G145:G146"/>
    <mergeCell ref="G136:G137"/>
    <mergeCell ref="A138:A139"/>
    <mergeCell ref="B138:B139"/>
    <mergeCell ref="C138:C139"/>
    <mergeCell ref="D138:D139"/>
    <mergeCell ref="E138:E139"/>
    <mergeCell ref="F138:F139"/>
    <mergeCell ref="G138:G139"/>
    <mergeCell ref="A136:A137"/>
    <mergeCell ref="B136:B137"/>
    <mergeCell ref="C136:C137"/>
    <mergeCell ref="D136:D137"/>
    <mergeCell ref="E136:E137"/>
    <mergeCell ref="F136:F137"/>
    <mergeCell ref="G129:G131"/>
    <mergeCell ref="A132:A135"/>
    <mergeCell ref="B132:B135"/>
    <mergeCell ref="C132:C135"/>
    <mergeCell ref="D132:D135"/>
    <mergeCell ref="E132:E135"/>
    <mergeCell ref="F132:F133"/>
    <mergeCell ref="G132:G133"/>
    <mergeCell ref="F134:F135"/>
    <mergeCell ref="G134:G135"/>
    <mergeCell ref="A129:A131"/>
    <mergeCell ref="B129:B131"/>
    <mergeCell ref="C129:C131"/>
    <mergeCell ref="D129:D131"/>
    <mergeCell ref="E129:E131"/>
    <mergeCell ref="F129:F131"/>
    <mergeCell ref="G123:G124"/>
    <mergeCell ref="A126:A128"/>
    <mergeCell ref="B126:B128"/>
    <mergeCell ref="C126:C128"/>
    <mergeCell ref="D126:D128"/>
    <mergeCell ref="E126:E128"/>
    <mergeCell ref="F126:F128"/>
    <mergeCell ref="G126:G128"/>
    <mergeCell ref="A123:A124"/>
    <mergeCell ref="B123:B124"/>
    <mergeCell ref="C123:C124"/>
    <mergeCell ref="D123:D124"/>
    <mergeCell ref="E123:E124"/>
    <mergeCell ref="F123:F124"/>
    <mergeCell ref="E119:E120"/>
    <mergeCell ref="F119:F120"/>
    <mergeCell ref="G119:G120"/>
    <mergeCell ref="E121:E122"/>
    <mergeCell ref="F121:F122"/>
    <mergeCell ref="G121:G122"/>
    <mergeCell ref="A115:A116"/>
    <mergeCell ref="B115:B116"/>
    <mergeCell ref="C115:C116"/>
    <mergeCell ref="D115:D116"/>
    <mergeCell ref="A119:A122"/>
    <mergeCell ref="B119:B122"/>
    <mergeCell ref="C119:C122"/>
    <mergeCell ref="D119:D122"/>
    <mergeCell ref="G111:G112"/>
    <mergeCell ref="A113:A114"/>
    <mergeCell ref="B113:B114"/>
    <mergeCell ref="C113:C114"/>
    <mergeCell ref="D113:D114"/>
    <mergeCell ref="E113:E114"/>
    <mergeCell ref="F113:F114"/>
    <mergeCell ref="G113:G114"/>
    <mergeCell ref="A111:A112"/>
    <mergeCell ref="B111:B112"/>
    <mergeCell ref="C111:C112"/>
    <mergeCell ref="D111:D112"/>
    <mergeCell ref="E111:E112"/>
    <mergeCell ref="F111:F112"/>
    <mergeCell ref="G104:G107"/>
    <mergeCell ref="A108:A110"/>
    <mergeCell ref="B108:B110"/>
    <mergeCell ref="C108:C110"/>
    <mergeCell ref="D108:D110"/>
    <mergeCell ref="E108:E110"/>
    <mergeCell ref="F97:F100"/>
    <mergeCell ref="G97:G100"/>
    <mergeCell ref="F101:F102"/>
    <mergeCell ref="G101:G102"/>
    <mergeCell ref="A104:A107"/>
    <mergeCell ref="B104:B107"/>
    <mergeCell ref="C104:C107"/>
    <mergeCell ref="D104:D107"/>
    <mergeCell ref="E104:E107"/>
    <mergeCell ref="F104:F107"/>
    <mergeCell ref="G87:G88"/>
    <mergeCell ref="A89:A103"/>
    <mergeCell ref="B89:B103"/>
    <mergeCell ref="C89:C103"/>
    <mergeCell ref="D89:D103"/>
    <mergeCell ref="E89:E103"/>
    <mergeCell ref="F89:F92"/>
    <mergeCell ref="G89:G92"/>
    <mergeCell ref="F93:F96"/>
    <mergeCell ref="G93:G96"/>
    <mergeCell ref="A87:A88"/>
    <mergeCell ref="B87:B88"/>
    <mergeCell ref="C87:C88"/>
    <mergeCell ref="D87:D88"/>
    <mergeCell ref="E87:E88"/>
    <mergeCell ref="F87:F88"/>
    <mergeCell ref="F77:F78"/>
    <mergeCell ref="G77:G78"/>
    <mergeCell ref="A84:A86"/>
    <mergeCell ref="B84:B86"/>
    <mergeCell ref="C84:C86"/>
    <mergeCell ref="D84:D86"/>
    <mergeCell ref="E84:E85"/>
    <mergeCell ref="A74:A75"/>
    <mergeCell ref="B74:B75"/>
    <mergeCell ref="C74:C75"/>
    <mergeCell ref="D74:D75"/>
    <mergeCell ref="E74:E75"/>
    <mergeCell ref="A77:A81"/>
    <mergeCell ref="B77:B81"/>
    <mergeCell ref="C77:C81"/>
    <mergeCell ref="D77:D81"/>
    <mergeCell ref="E77:E81"/>
    <mergeCell ref="G64:G65"/>
    <mergeCell ref="A69:A73"/>
    <mergeCell ref="B69:B73"/>
    <mergeCell ref="C69:C73"/>
    <mergeCell ref="D69:D73"/>
    <mergeCell ref="E69:E73"/>
    <mergeCell ref="F69:F70"/>
    <mergeCell ref="G69:G70"/>
    <mergeCell ref="A63:A65"/>
    <mergeCell ref="B63:B65"/>
    <mergeCell ref="C63:C65"/>
    <mergeCell ref="D63:D65"/>
    <mergeCell ref="E63:E65"/>
    <mergeCell ref="F64:F65"/>
    <mergeCell ref="A54:A62"/>
    <mergeCell ref="B54:B62"/>
    <mergeCell ref="C54:C62"/>
    <mergeCell ref="D54:D62"/>
    <mergeCell ref="E54:E55"/>
    <mergeCell ref="F54:F55"/>
    <mergeCell ref="G54:G55"/>
    <mergeCell ref="A49:A53"/>
    <mergeCell ref="B49:B53"/>
    <mergeCell ref="C49:C53"/>
    <mergeCell ref="D49:D53"/>
    <mergeCell ref="E49:E53"/>
    <mergeCell ref="F50:F51"/>
    <mergeCell ref="E56:E62"/>
    <mergeCell ref="F56:F58"/>
    <mergeCell ref="G56:G58"/>
    <mergeCell ref="F59:F60"/>
    <mergeCell ref="G59:G60"/>
    <mergeCell ref="F61:F62"/>
    <mergeCell ref="G61:G62"/>
    <mergeCell ref="G50:G51"/>
    <mergeCell ref="F52:F53"/>
    <mergeCell ref="G52:G53"/>
    <mergeCell ref="A46:A47"/>
    <mergeCell ref="B46:B47"/>
    <mergeCell ref="C46:C47"/>
    <mergeCell ref="D46:D47"/>
    <mergeCell ref="E46:E47"/>
    <mergeCell ref="F25:F28"/>
    <mergeCell ref="G25:G28"/>
    <mergeCell ref="A29:A39"/>
    <mergeCell ref="B29:B39"/>
    <mergeCell ref="C29:C39"/>
    <mergeCell ref="D29:D39"/>
    <mergeCell ref="E29:E30"/>
    <mergeCell ref="E32:E39"/>
    <mergeCell ref="F32:F35"/>
    <mergeCell ref="G32:G35"/>
    <mergeCell ref="A18:A28"/>
    <mergeCell ref="B18:B28"/>
    <mergeCell ref="C18:C28"/>
    <mergeCell ref="D18:D28"/>
    <mergeCell ref="E18:E19"/>
    <mergeCell ref="E21:E28"/>
    <mergeCell ref="F21:F24"/>
    <mergeCell ref="G21:G24"/>
    <mergeCell ref="F36:F39"/>
    <mergeCell ref="G36:G39"/>
    <mergeCell ref="A8:A17"/>
    <mergeCell ref="B8:B17"/>
    <mergeCell ref="C8:C17"/>
    <mergeCell ref="D8:D17"/>
    <mergeCell ref="E10:E17"/>
    <mergeCell ref="F10:F13"/>
    <mergeCell ref="G10:G13"/>
    <mergeCell ref="F14:F17"/>
    <mergeCell ref="G14:G17"/>
    <mergeCell ref="A1:D1"/>
    <mergeCell ref="E1:I1"/>
    <mergeCell ref="F2:G2"/>
    <mergeCell ref="H2:I2"/>
    <mergeCell ref="A3:A7"/>
    <mergeCell ref="B3:B7"/>
    <mergeCell ref="C3:C7"/>
    <mergeCell ref="D3:D7"/>
    <mergeCell ref="E3:E7"/>
    <mergeCell ref="F3:F5"/>
    <mergeCell ref="G3:G5"/>
    <mergeCell ref="F6:F7"/>
    <mergeCell ref="G6:G7"/>
  </mergeCells>
  <printOptions horizontalCentered="1"/>
  <pageMargins left="0.51181102362204722" right="0.51181102362204722" top="0.39370078740157483" bottom="0.39370078740157483" header="0.31496062992125984" footer="0.31496062992125984"/>
  <pageSetup paperSize="9" scale="66" fitToHeight="0" orientation="portrait" horizontalDpi="300" verticalDpi="300" r:id="rId1"/>
  <rowBreaks count="8" manualBreakCount="8">
    <brk id="24" min="4" max="8" man="1"/>
    <brk id="44" min="4" max="8" man="1"/>
    <brk id="60" min="4" max="8" man="1"/>
    <brk id="76" min="4" max="8" man="1"/>
    <brk id="92" min="4" max="8" man="1"/>
    <brk id="116" min="4" max="8" man="1"/>
    <brk id="135" min="4" max="8" man="1"/>
    <brk id="166" min="4" max="8"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U80"/>
  <sheetViews>
    <sheetView showGridLines="0" topLeftCell="G46" zoomScaleNormal="100" zoomScaleSheetLayoutView="100" workbookViewId="0">
      <selection activeCell="H51" sqref="H51"/>
    </sheetView>
  </sheetViews>
  <sheetFormatPr baseColWidth="10" defaultColWidth="0" defaultRowHeight="15" zeroHeight="1"/>
  <cols>
    <col min="1" max="1" width="2.42578125" customWidth="1"/>
    <col min="2" max="2" width="4" style="8" customWidth="1"/>
    <col min="3" max="3" width="55.42578125" customWidth="1"/>
    <col min="4" max="4" width="19.85546875" style="183" customWidth="1"/>
    <col min="5" max="5" width="4.7109375" style="226" customWidth="1"/>
    <col min="6" max="6" width="50" style="182" customWidth="1"/>
    <col min="7" max="7" width="4.42578125" style="226" customWidth="1"/>
    <col min="8" max="8" width="47.28515625" style="75" customWidth="1"/>
    <col min="9" max="9" width="26.85546875" hidden="1" customWidth="1"/>
    <col min="10" max="10" width="45" style="75" hidden="1" customWidth="1"/>
    <col min="11" max="11" width="25.85546875" hidden="1" customWidth="1"/>
    <col min="12" max="12" width="49" hidden="1" customWidth="1"/>
    <col min="13" max="13" width="3.42578125" customWidth="1"/>
    <col min="14" max="21" width="0" hidden="1" customWidth="1"/>
    <col min="22" max="16384" width="11.42578125" hidden="1"/>
  </cols>
  <sheetData>
    <row r="1" spans="2:21" ht="15.75">
      <c r="B1" s="148"/>
      <c r="C1" s="148"/>
      <c r="D1" s="839" t="s">
        <v>708</v>
      </c>
      <c r="E1" s="839"/>
      <c r="F1" s="839"/>
      <c r="G1" s="839"/>
      <c r="H1" s="839"/>
      <c r="I1" s="148"/>
      <c r="J1" s="155"/>
      <c r="K1" s="148"/>
      <c r="L1" s="148"/>
      <c r="M1" s="148"/>
      <c r="N1" s="148"/>
      <c r="O1" s="148"/>
      <c r="P1" s="148"/>
      <c r="Q1" s="148"/>
      <c r="R1" s="148"/>
      <c r="S1" s="148"/>
      <c r="T1" s="148"/>
      <c r="U1" s="148"/>
    </row>
    <row r="2" spans="2:21" ht="32.25" customHeight="1">
      <c r="B2" s="323" t="s">
        <v>448</v>
      </c>
      <c r="C2" s="323" t="s">
        <v>855</v>
      </c>
      <c r="D2" s="222" t="s">
        <v>747</v>
      </c>
      <c r="E2" s="872" t="s">
        <v>598</v>
      </c>
      <c r="F2" s="873"/>
      <c r="G2" s="872" t="s">
        <v>1168</v>
      </c>
      <c r="H2" s="874"/>
      <c r="I2" s="865" t="s">
        <v>317</v>
      </c>
      <c r="J2" s="866"/>
      <c r="K2" s="865" t="s">
        <v>519</v>
      </c>
      <c r="L2" s="866"/>
    </row>
    <row r="3" spans="2:21" ht="69.75" customHeight="1">
      <c r="B3" s="842">
        <v>1</v>
      </c>
      <c r="C3" s="818" t="s">
        <v>466</v>
      </c>
      <c r="D3" s="820" t="s">
        <v>573</v>
      </c>
      <c r="E3" s="395" t="s">
        <v>626</v>
      </c>
      <c r="F3" s="355" t="s">
        <v>779</v>
      </c>
      <c r="G3" s="351">
        <v>1</v>
      </c>
      <c r="H3" s="355" t="s">
        <v>618</v>
      </c>
      <c r="I3" s="214" t="s">
        <v>485</v>
      </c>
      <c r="J3" s="156"/>
      <c r="K3" s="214" t="s">
        <v>468</v>
      </c>
      <c r="L3" s="212" t="s">
        <v>467</v>
      </c>
    </row>
    <row r="4" spans="2:21" ht="42.75" customHeight="1">
      <c r="B4" s="842"/>
      <c r="C4" s="818"/>
      <c r="D4" s="820"/>
      <c r="E4" s="395" t="s">
        <v>628</v>
      </c>
      <c r="F4" s="355" t="s">
        <v>711</v>
      </c>
      <c r="G4" s="346">
        <v>1</v>
      </c>
      <c r="H4" s="355" t="s">
        <v>622</v>
      </c>
      <c r="I4" s="223"/>
      <c r="J4" s="156"/>
      <c r="K4" s="223"/>
      <c r="L4" s="225"/>
    </row>
    <row r="5" spans="2:21" ht="69" customHeight="1">
      <c r="B5" s="842"/>
      <c r="C5" s="818"/>
      <c r="D5" s="820"/>
      <c r="E5" s="395" t="s">
        <v>630</v>
      </c>
      <c r="F5" s="355" t="s">
        <v>631</v>
      </c>
      <c r="G5" s="356">
        <v>2</v>
      </c>
      <c r="H5" s="355" t="s">
        <v>1038</v>
      </c>
      <c r="I5" s="318"/>
      <c r="J5" s="156"/>
      <c r="K5" s="318"/>
      <c r="L5" s="316"/>
    </row>
    <row r="6" spans="2:21" ht="72" customHeight="1">
      <c r="B6" s="366">
        <v>2</v>
      </c>
      <c r="C6" s="369" t="s">
        <v>458</v>
      </c>
      <c r="D6" s="370" t="s">
        <v>573</v>
      </c>
      <c r="E6" s="371" t="s">
        <v>630</v>
      </c>
      <c r="F6" s="372" t="s">
        <v>631</v>
      </c>
      <c r="G6" s="373">
        <v>2</v>
      </c>
      <c r="H6" s="372" t="s">
        <v>1038</v>
      </c>
      <c r="I6" s="213" t="s">
        <v>471</v>
      </c>
      <c r="J6" s="158"/>
      <c r="K6" s="159" t="s">
        <v>469</v>
      </c>
      <c r="L6" s="215" t="s">
        <v>470</v>
      </c>
    </row>
    <row r="7" spans="2:21" ht="53.25" customHeight="1">
      <c r="B7" s="842">
        <v>3</v>
      </c>
      <c r="C7" s="818" t="s">
        <v>457</v>
      </c>
      <c r="D7" s="353" t="s">
        <v>576</v>
      </c>
      <c r="E7" s="353" t="s">
        <v>580</v>
      </c>
      <c r="F7" s="352" t="s">
        <v>579</v>
      </c>
      <c r="G7" s="353">
        <v>3</v>
      </c>
      <c r="H7" s="352" t="s">
        <v>743</v>
      </c>
      <c r="I7" s="214" t="s">
        <v>460</v>
      </c>
      <c r="J7" s="157" t="s">
        <v>242</v>
      </c>
      <c r="K7" s="867" t="s">
        <v>468</v>
      </c>
      <c r="L7" s="869" t="s">
        <v>472</v>
      </c>
    </row>
    <row r="8" spans="2:21" ht="127.5">
      <c r="B8" s="842"/>
      <c r="C8" s="818"/>
      <c r="D8" s="353" t="s">
        <v>574</v>
      </c>
      <c r="E8" s="353" t="s">
        <v>652</v>
      </c>
      <c r="F8" s="352" t="s">
        <v>709</v>
      </c>
      <c r="G8" s="353">
        <v>1</v>
      </c>
      <c r="H8" s="352" t="s">
        <v>1007</v>
      </c>
      <c r="I8" s="214" t="s">
        <v>461</v>
      </c>
      <c r="J8" s="157" t="s">
        <v>280</v>
      </c>
      <c r="K8" s="868"/>
      <c r="L8" s="849"/>
    </row>
    <row r="9" spans="2:21" ht="71.25" customHeight="1">
      <c r="B9" s="825">
        <v>4</v>
      </c>
      <c r="C9" s="802" t="s">
        <v>456</v>
      </c>
      <c r="D9" s="819" t="s">
        <v>576</v>
      </c>
      <c r="E9" s="821" t="s">
        <v>587</v>
      </c>
      <c r="F9" s="822" t="s">
        <v>734</v>
      </c>
      <c r="G9" s="349">
        <v>1</v>
      </c>
      <c r="H9" s="350" t="s">
        <v>803</v>
      </c>
      <c r="I9" s="213" t="s">
        <v>460</v>
      </c>
      <c r="J9" s="160" t="s">
        <v>243</v>
      </c>
      <c r="K9" s="870" t="s">
        <v>474</v>
      </c>
      <c r="L9" s="858" t="s">
        <v>473</v>
      </c>
    </row>
    <row r="10" spans="2:21" ht="45.75" customHeight="1">
      <c r="B10" s="825"/>
      <c r="C10" s="802"/>
      <c r="D10" s="819"/>
      <c r="E10" s="821"/>
      <c r="F10" s="822"/>
      <c r="G10" s="349">
        <v>2</v>
      </c>
      <c r="H10" s="350" t="s">
        <v>1025</v>
      </c>
      <c r="I10" s="213" t="s">
        <v>461</v>
      </c>
      <c r="J10" s="160" t="s">
        <v>304</v>
      </c>
      <c r="K10" s="871"/>
      <c r="L10" s="859"/>
    </row>
    <row r="11" spans="2:21" ht="46.5" customHeight="1">
      <c r="B11" s="842">
        <v>5</v>
      </c>
      <c r="C11" s="818" t="s">
        <v>455</v>
      </c>
      <c r="D11" s="820" t="s">
        <v>252</v>
      </c>
      <c r="E11" s="823" t="s">
        <v>611</v>
      </c>
      <c r="F11" s="824" t="s">
        <v>1060</v>
      </c>
      <c r="G11" s="346">
        <v>1</v>
      </c>
      <c r="H11" s="347" t="s">
        <v>1018</v>
      </c>
      <c r="I11" s="214" t="s">
        <v>462</v>
      </c>
      <c r="J11" s="217" t="s">
        <v>475</v>
      </c>
      <c r="K11" s="153" t="s">
        <v>476</v>
      </c>
      <c r="L11" s="216" t="s">
        <v>477</v>
      </c>
    </row>
    <row r="12" spans="2:21" ht="65.25" customHeight="1">
      <c r="B12" s="842"/>
      <c r="C12" s="818"/>
      <c r="D12" s="820"/>
      <c r="E12" s="823"/>
      <c r="F12" s="824"/>
      <c r="G12" s="346">
        <v>2</v>
      </c>
      <c r="H12" s="347" t="s">
        <v>1061</v>
      </c>
      <c r="I12" s="214"/>
      <c r="J12" s="217"/>
      <c r="K12" s="153"/>
      <c r="L12" s="216"/>
    </row>
    <row r="13" spans="2:21" ht="28.5" customHeight="1">
      <c r="B13" s="842"/>
      <c r="C13" s="818"/>
      <c r="D13" s="820"/>
      <c r="E13" s="823"/>
      <c r="F13" s="824"/>
      <c r="G13" s="346">
        <v>3</v>
      </c>
      <c r="H13" s="396" t="s">
        <v>1019</v>
      </c>
      <c r="I13" s="214"/>
      <c r="J13" s="217"/>
      <c r="K13" s="153"/>
      <c r="L13" s="216"/>
    </row>
    <row r="14" spans="2:21" ht="66.75" customHeight="1">
      <c r="B14" s="842"/>
      <c r="C14" s="818"/>
      <c r="D14" s="820"/>
      <c r="E14" s="378" t="s">
        <v>612</v>
      </c>
      <c r="F14" s="382" t="s">
        <v>567</v>
      </c>
      <c r="G14" s="358">
        <v>1</v>
      </c>
      <c r="H14" s="347" t="s">
        <v>568</v>
      </c>
      <c r="I14" s="214"/>
      <c r="J14" s="217"/>
      <c r="K14" s="153"/>
      <c r="L14" s="216"/>
    </row>
    <row r="15" spans="2:21" ht="49.5" customHeight="1">
      <c r="B15" s="842"/>
      <c r="C15" s="818"/>
      <c r="D15" s="820"/>
      <c r="E15" s="378" t="s">
        <v>613</v>
      </c>
      <c r="F15" s="355" t="s">
        <v>769</v>
      </c>
      <c r="G15" s="358">
        <v>1</v>
      </c>
      <c r="H15" s="397" t="s">
        <v>1108</v>
      </c>
      <c r="I15" s="214"/>
      <c r="J15" s="217"/>
      <c r="K15" s="153"/>
      <c r="L15" s="216"/>
    </row>
    <row r="16" spans="2:21" ht="66.75" customHeight="1">
      <c r="B16" s="842"/>
      <c r="C16" s="818"/>
      <c r="D16" s="820"/>
      <c r="E16" s="378" t="s">
        <v>614</v>
      </c>
      <c r="F16" s="382" t="s">
        <v>808</v>
      </c>
      <c r="G16" s="358">
        <v>1</v>
      </c>
      <c r="H16" s="359" t="s">
        <v>833</v>
      </c>
      <c r="I16" s="318"/>
      <c r="J16" s="224"/>
      <c r="K16" s="153"/>
      <c r="L16" s="320"/>
    </row>
    <row r="17" spans="2:12" ht="105.75" customHeight="1">
      <c r="B17" s="842"/>
      <c r="C17" s="818"/>
      <c r="D17" s="820"/>
      <c r="E17" s="353" t="s">
        <v>615</v>
      </c>
      <c r="F17" s="352" t="s">
        <v>1062</v>
      </c>
      <c r="G17" s="353">
        <v>1</v>
      </c>
      <c r="H17" s="352" t="s">
        <v>771</v>
      </c>
      <c r="I17" s="214"/>
      <c r="J17" s="217"/>
      <c r="K17" s="153"/>
      <c r="L17" s="216"/>
    </row>
    <row r="18" spans="2:12" ht="79.5" customHeight="1">
      <c r="B18" s="842"/>
      <c r="C18" s="818"/>
      <c r="D18" s="820"/>
      <c r="E18" s="353" t="s">
        <v>616</v>
      </c>
      <c r="F18" s="361" t="s">
        <v>617</v>
      </c>
      <c r="G18" s="351">
        <v>1</v>
      </c>
      <c r="H18" s="352" t="s">
        <v>529</v>
      </c>
      <c r="I18" s="214"/>
      <c r="J18" s="217"/>
      <c r="K18" s="153"/>
      <c r="L18" s="216"/>
    </row>
    <row r="19" spans="2:12" ht="40.5" customHeight="1">
      <c r="B19" s="825">
        <v>6</v>
      </c>
      <c r="C19" s="802" t="s">
        <v>454</v>
      </c>
      <c r="D19" s="819" t="s">
        <v>252</v>
      </c>
      <c r="E19" s="821" t="s">
        <v>611</v>
      </c>
      <c r="F19" s="822" t="s">
        <v>1060</v>
      </c>
      <c r="G19" s="349">
        <v>1</v>
      </c>
      <c r="H19" s="350" t="s">
        <v>1018</v>
      </c>
      <c r="I19" s="162" t="s">
        <v>478</v>
      </c>
      <c r="J19" s="160" t="s">
        <v>479</v>
      </c>
      <c r="K19" s="159" t="s">
        <v>476</v>
      </c>
      <c r="L19" s="47"/>
    </row>
    <row r="20" spans="2:12" ht="67.5" customHeight="1">
      <c r="B20" s="825"/>
      <c r="C20" s="802"/>
      <c r="D20" s="819"/>
      <c r="E20" s="821"/>
      <c r="F20" s="822"/>
      <c r="G20" s="349">
        <v>2</v>
      </c>
      <c r="H20" s="350" t="s">
        <v>1061</v>
      </c>
      <c r="I20" s="162"/>
      <c r="J20" s="315"/>
      <c r="K20" s="159"/>
      <c r="L20" s="47"/>
    </row>
    <row r="21" spans="2:12" ht="29.25" customHeight="1">
      <c r="B21" s="825"/>
      <c r="C21" s="802"/>
      <c r="D21" s="819"/>
      <c r="E21" s="821"/>
      <c r="F21" s="822"/>
      <c r="G21" s="349">
        <v>3</v>
      </c>
      <c r="H21" s="406" t="s">
        <v>1019</v>
      </c>
      <c r="I21" s="162"/>
      <c r="J21" s="315"/>
      <c r="K21" s="159"/>
      <c r="L21" s="47"/>
    </row>
    <row r="22" spans="2:12" ht="48.75" customHeight="1">
      <c r="B22" s="842">
        <v>7</v>
      </c>
      <c r="C22" s="818" t="s">
        <v>453</v>
      </c>
      <c r="D22" s="820" t="s">
        <v>576</v>
      </c>
      <c r="E22" s="353" t="s">
        <v>587</v>
      </c>
      <c r="F22" s="352" t="s">
        <v>734</v>
      </c>
      <c r="G22" s="346">
        <v>2</v>
      </c>
      <c r="H22" s="347" t="s">
        <v>1025</v>
      </c>
      <c r="I22" s="214" t="s">
        <v>460</v>
      </c>
      <c r="J22" s="157" t="s">
        <v>480</v>
      </c>
      <c r="K22" s="153" t="s">
        <v>476</v>
      </c>
      <c r="L22" s="216" t="s">
        <v>481</v>
      </c>
    </row>
    <row r="23" spans="2:12" ht="33" customHeight="1">
      <c r="B23" s="842"/>
      <c r="C23" s="818"/>
      <c r="D23" s="820"/>
      <c r="E23" s="820" t="s">
        <v>591</v>
      </c>
      <c r="F23" s="818" t="s">
        <v>760</v>
      </c>
      <c r="G23" s="346">
        <v>1</v>
      </c>
      <c r="H23" s="347" t="s">
        <v>565</v>
      </c>
      <c r="I23" s="318"/>
      <c r="J23" s="314"/>
      <c r="K23" s="153"/>
      <c r="L23" s="320"/>
    </row>
    <row r="24" spans="2:12" ht="36" customHeight="1">
      <c r="B24" s="842"/>
      <c r="C24" s="818"/>
      <c r="D24" s="820"/>
      <c r="E24" s="820"/>
      <c r="F24" s="818"/>
      <c r="G24" s="346">
        <v>2</v>
      </c>
      <c r="H24" s="347" t="s">
        <v>559</v>
      </c>
      <c r="I24" s="318"/>
      <c r="J24" s="314"/>
      <c r="K24" s="153"/>
      <c r="L24" s="320"/>
    </row>
    <row r="25" spans="2:12" ht="127.5">
      <c r="B25" s="825">
        <v>8</v>
      </c>
      <c r="C25" s="802" t="s">
        <v>452</v>
      </c>
      <c r="D25" s="819" t="s">
        <v>574</v>
      </c>
      <c r="E25" s="368" t="s">
        <v>652</v>
      </c>
      <c r="F25" s="369" t="s">
        <v>709</v>
      </c>
      <c r="G25" s="368">
        <v>1</v>
      </c>
      <c r="H25" s="369" t="s">
        <v>1007</v>
      </c>
      <c r="I25" s="213" t="s">
        <v>465</v>
      </c>
      <c r="J25" s="160" t="s">
        <v>277</v>
      </c>
      <c r="K25" s="163" t="s">
        <v>468</v>
      </c>
      <c r="L25" s="47" t="s">
        <v>482</v>
      </c>
    </row>
    <row r="26" spans="2:12" ht="93" customHeight="1">
      <c r="B26" s="825"/>
      <c r="C26" s="802"/>
      <c r="D26" s="819"/>
      <c r="E26" s="368" t="s">
        <v>656</v>
      </c>
      <c r="F26" s="369" t="s">
        <v>710</v>
      </c>
      <c r="G26" s="368">
        <v>1</v>
      </c>
      <c r="H26" s="369" t="s">
        <v>510</v>
      </c>
      <c r="I26" s="213"/>
      <c r="J26" s="160"/>
      <c r="K26" s="163"/>
      <c r="L26" s="47"/>
    </row>
    <row r="27" spans="2:12" ht="72" customHeight="1">
      <c r="B27" s="842">
        <v>9</v>
      </c>
      <c r="C27" s="818" t="s">
        <v>483</v>
      </c>
      <c r="D27" s="820" t="s">
        <v>573</v>
      </c>
      <c r="E27" s="820" t="s">
        <v>630</v>
      </c>
      <c r="F27" s="818" t="s">
        <v>631</v>
      </c>
      <c r="G27" s="353">
        <v>1</v>
      </c>
      <c r="H27" s="352" t="s">
        <v>1132</v>
      </c>
      <c r="I27" s="214" t="s">
        <v>484</v>
      </c>
      <c r="J27" s="157" t="s">
        <v>259</v>
      </c>
      <c r="K27" s="50"/>
      <c r="L27" s="216"/>
    </row>
    <row r="28" spans="2:12" ht="69" customHeight="1">
      <c r="B28" s="842"/>
      <c r="C28" s="818"/>
      <c r="D28" s="820"/>
      <c r="E28" s="820"/>
      <c r="F28" s="818"/>
      <c r="G28" s="353">
        <v>2</v>
      </c>
      <c r="H28" s="352" t="s">
        <v>1038</v>
      </c>
      <c r="I28" s="214"/>
      <c r="J28" s="157"/>
      <c r="K28" s="50"/>
      <c r="L28" s="216"/>
    </row>
    <row r="29" spans="2:12" ht="51.75" customHeight="1">
      <c r="B29" s="825">
        <v>10</v>
      </c>
      <c r="C29" s="802" t="s">
        <v>451</v>
      </c>
      <c r="D29" s="819" t="s">
        <v>575</v>
      </c>
      <c r="E29" s="819" t="s">
        <v>600</v>
      </c>
      <c r="F29" s="864" t="s">
        <v>804</v>
      </c>
      <c r="G29" s="349">
        <v>1</v>
      </c>
      <c r="H29" s="350" t="s">
        <v>601</v>
      </c>
      <c r="I29" s="161"/>
      <c r="J29" s="158"/>
      <c r="K29" s="161"/>
      <c r="L29" s="47"/>
    </row>
    <row r="30" spans="2:12" ht="66.75" customHeight="1">
      <c r="B30" s="825"/>
      <c r="C30" s="802"/>
      <c r="D30" s="819"/>
      <c r="E30" s="819"/>
      <c r="F30" s="864"/>
      <c r="G30" s="349">
        <v>2</v>
      </c>
      <c r="H30" s="350" t="s">
        <v>602</v>
      </c>
      <c r="I30" s="161"/>
      <c r="J30" s="158"/>
      <c r="K30" s="161"/>
      <c r="L30" s="47"/>
    </row>
    <row r="31" spans="2:12" ht="30.75" customHeight="1">
      <c r="B31" s="825"/>
      <c r="C31" s="802"/>
      <c r="D31" s="819"/>
      <c r="E31" s="819"/>
      <c r="F31" s="864"/>
      <c r="G31" s="349">
        <v>3</v>
      </c>
      <c r="H31" s="350" t="s">
        <v>603</v>
      </c>
      <c r="I31" s="161"/>
      <c r="J31" s="158"/>
      <c r="K31" s="161"/>
      <c r="L31" s="47"/>
    </row>
    <row r="32" spans="2:12" ht="72" customHeight="1">
      <c r="B32" s="842">
        <v>11</v>
      </c>
      <c r="C32" s="818" t="s">
        <v>450</v>
      </c>
      <c r="D32" s="820" t="s">
        <v>576</v>
      </c>
      <c r="E32" s="823" t="s">
        <v>595</v>
      </c>
      <c r="F32" s="824" t="s">
        <v>850</v>
      </c>
      <c r="G32" s="358">
        <v>1</v>
      </c>
      <c r="H32" s="359" t="s">
        <v>887</v>
      </c>
      <c r="I32" s="161"/>
      <c r="J32" s="158"/>
      <c r="K32" s="161"/>
      <c r="L32" s="47"/>
    </row>
    <row r="33" spans="2:12" ht="43.5" customHeight="1">
      <c r="B33" s="842"/>
      <c r="C33" s="818"/>
      <c r="D33" s="820"/>
      <c r="E33" s="823"/>
      <c r="F33" s="824"/>
      <c r="G33" s="346">
        <v>2</v>
      </c>
      <c r="H33" s="347" t="s">
        <v>851</v>
      </c>
      <c r="I33" s="161"/>
      <c r="J33" s="158"/>
      <c r="K33" s="161"/>
      <c r="L33" s="47"/>
    </row>
    <row r="34" spans="2:12" ht="83.25" customHeight="1">
      <c r="B34" s="825">
        <v>12</v>
      </c>
      <c r="C34" s="802" t="s">
        <v>965</v>
      </c>
      <c r="D34" s="368" t="s">
        <v>633</v>
      </c>
      <c r="E34" s="368" t="s">
        <v>634</v>
      </c>
      <c r="F34" s="369" t="s">
        <v>998</v>
      </c>
      <c r="G34" s="368">
        <v>1</v>
      </c>
      <c r="H34" s="369" t="s">
        <v>993</v>
      </c>
      <c r="I34" s="213" t="s">
        <v>486</v>
      </c>
      <c r="J34" s="158"/>
      <c r="K34" s="161"/>
      <c r="L34" s="165"/>
    </row>
    <row r="35" spans="2:12" ht="42.75" customHeight="1">
      <c r="B35" s="825"/>
      <c r="C35" s="802"/>
      <c r="D35" s="368" t="s">
        <v>633</v>
      </c>
      <c r="E35" s="368" t="s">
        <v>635</v>
      </c>
      <c r="F35" s="369" t="s">
        <v>637</v>
      </c>
      <c r="G35" s="349">
        <v>1</v>
      </c>
      <c r="H35" s="350" t="s">
        <v>1042</v>
      </c>
      <c r="I35" s="213"/>
      <c r="J35" s="158"/>
      <c r="K35" s="161"/>
      <c r="L35" s="165"/>
    </row>
    <row r="36" spans="2:12" ht="55.5" customHeight="1">
      <c r="B36" s="825"/>
      <c r="C36" s="802"/>
      <c r="D36" s="368" t="s">
        <v>633</v>
      </c>
      <c r="E36" s="368" t="s">
        <v>636</v>
      </c>
      <c r="F36" s="369" t="s">
        <v>870</v>
      </c>
      <c r="G36" s="368">
        <v>1</v>
      </c>
      <c r="H36" s="369" t="s">
        <v>1159</v>
      </c>
      <c r="I36" s="213"/>
      <c r="J36" s="158"/>
      <c r="K36" s="161"/>
      <c r="L36" s="165"/>
    </row>
    <row r="37" spans="2:12" ht="53.25" customHeight="1">
      <c r="B37" s="825"/>
      <c r="C37" s="802"/>
      <c r="D37" s="368" t="s">
        <v>633</v>
      </c>
      <c r="E37" s="364" t="s">
        <v>638</v>
      </c>
      <c r="F37" s="348" t="s">
        <v>569</v>
      </c>
      <c r="G37" s="349">
        <v>1</v>
      </c>
      <c r="H37" s="350" t="s">
        <v>570</v>
      </c>
      <c r="I37" s="213"/>
      <c r="J37" s="158"/>
      <c r="K37" s="161"/>
      <c r="L37" s="165"/>
    </row>
    <row r="38" spans="2:12" ht="69" customHeight="1">
      <c r="B38" s="825"/>
      <c r="C38" s="802"/>
      <c r="D38" s="819" t="s">
        <v>633</v>
      </c>
      <c r="E38" s="819" t="s">
        <v>640</v>
      </c>
      <c r="F38" s="822" t="s">
        <v>1092</v>
      </c>
      <c r="G38" s="349">
        <v>1</v>
      </c>
      <c r="H38" s="350" t="s">
        <v>447</v>
      </c>
      <c r="I38" s="213"/>
      <c r="J38" s="158"/>
      <c r="K38" s="161"/>
      <c r="L38" s="165"/>
    </row>
    <row r="39" spans="2:12" ht="31.5" customHeight="1">
      <c r="B39" s="825"/>
      <c r="C39" s="802"/>
      <c r="D39" s="819"/>
      <c r="E39" s="819"/>
      <c r="F39" s="822"/>
      <c r="G39" s="349">
        <v>2</v>
      </c>
      <c r="H39" s="350" t="s">
        <v>426</v>
      </c>
      <c r="I39" s="213"/>
      <c r="J39" s="158"/>
      <c r="K39" s="161"/>
      <c r="L39" s="165"/>
    </row>
    <row r="40" spans="2:12" ht="33" customHeight="1">
      <c r="B40" s="825"/>
      <c r="C40" s="802"/>
      <c r="D40" s="819"/>
      <c r="E40" s="819"/>
      <c r="F40" s="822"/>
      <c r="G40" s="349">
        <v>3</v>
      </c>
      <c r="H40" s="362" t="s">
        <v>429</v>
      </c>
      <c r="I40" s="213"/>
      <c r="J40" s="158"/>
      <c r="K40" s="161"/>
      <c r="L40" s="165"/>
    </row>
    <row r="41" spans="2:12" ht="93.75" customHeight="1">
      <c r="B41" s="825"/>
      <c r="C41" s="802"/>
      <c r="D41" s="819"/>
      <c r="E41" s="819"/>
      <c r="F41" s="822"/>
      <c r="G41" s="349">
        <v>4</v>
      </c>
      <c r="H41" s="369" t="s">
        <v>997</v>
      </c>
      <c r="I41" s="317"/>
      <c r="J41" s="158"/>
      <c r="K41" s="161"/>
      <c r="L41" s="165"/>
    </row>
    <row r="42" spans="2:12" ht="43.5" customHeight="1">
      <c r="B42" s="825"/>
      <c r="C42" s="802"/>
      <c r="D42" s="368" t="s">
        <v>633</v>
      </c>
      <c r="E42" s="368" t="s">
        <v>641</v>
      </c>
      <c r="F42" s="348" t="s">
        <v>642</v>
      </c>
      <c r="G42" s="349">
        <v>1</v>
      </c>
      <c r="H42" s="350" t="s">
        <v>560</v>
      </c>
      <c r="I42" s="213"/>
      <c r="J42" s="158"/>
      <c r="K42" s="161"/>
      <c r="L42" s="165"/>
    </row>
    <row r="43" spans="2:12" ht="45.75" customHeight="1">
      <c r="B43" s="825"/>
      <c r="C43" s="802"/>
      <c r="D43" s="819" t="s">
        <v>633</v>
      </c>
      <c r="E43" s="819" t="s">
        <v>741</v>
      </c>
      <c r="F43" s="822" t="s">
        <v>646</v>
      </c>
      <c r="G43" s="349">
        <v>1</v>
      </c>
      <c r="H43" s="350" t="s">
        <v>643</v>
      </c>
      <c r="I43" s="213"/>
      <c r="J43" s="158"/>
      <c r="K43" s="161"/>
      <c r="L43" s="165"/>
    </row>
    <row r="44" spans="2:12" ht="40.5" customHeight="1">
      <c r="B44" s="825"/>
      <c r="C44" s="802"/>
      <c r="D44" s="819"/>
      <c r="E44" s="819"/>
      <c r="F44" s="822"/>
      <c r="G44" s="349">
        <v>2</v>
      </c>
      <c r="H44" s="350" t="s">
        <v>644</v>
      </c>
      <c r="I44" s="213"/>
      <c r="J44" s="158"/>
      <c r="K44" s="161"/>
      <c r="L44" s="165"/>
    </row>
    <row r="45" spans="2:12" ht="33" customHeight="1">
      <c r="B45" s="825"/>
      <c r="C45" s="802"/>
      <c r="D45" s="819"/>
      <c r="E45" s="819"/>
      <c r="F45" s="822"/>
      <c r="G45" s="349">
        <v>3</v>
      </c>
      <c r="H45" s="350" t="s">
        <v>645</v>
      </c>
      <c r="I45" s="213"/>
      <c r="J45" s="158"/>
      <c r="K45" s="161"/>
      <c r="L45" s="165"/>
    </row>
    <row r="46" spans="2:12" ht="93.75" customHeight="1">
      <c r="B46" s="825"/>
      <c r="C46" s="802"/>
      <c r="D46" s="819"/>
      <c r="E46" s="819"/>
      <c r="F46" s="822"/>
      <c r="G46" s="349">
        <v>4</v>
      </c>
      <c r="H46" s="350" t="s">
        <v>1083</v>
      </c>
      <c r="I46" s="213"/>
      <c r="J46" s="158"/>
      <c r="K46" s="161"/>
      <c r="L46" s="165"/>
    </row>
    <row r="47" spans="2:12" ht="45.75" customHeight="1">
      <c r="B47" s="825"/>
      <c r="C47" s="802"/>
      <c r="D47" s="819"/>
      <c r="E47" s="819"/>
      <c r="F47" s="822"/>
      <c r="G47" s="349">
        <v>5</v>
      </c>
      <c r="H47" s="362" t="s">
        <v>1004</v>
      </c>
      <c r="I47" s="317"/>
      <c r="J47" s="158"/>
      <c r="K47" s="161"/>
      <c r="L47" s="165"/>
    </row>
    <row r="48" spans="2:12" ht="110.25" customHeight="1">
      <c r="B48" s="351">
        <v>13</v>
      </c>
      <c r="C48" s="352" t="s">
        <v>487</v>
      </c>
      <c r="D48" s="353" t="s">
        <v>252</v>
      </c>
      <c r="E48" s="353" t="s">
        <v>615</v>
      </c>
      <c r="F48" s="352" t="s">
        <v>1062</v>
      </c>
      <c r="G48" s="353">
        <v>1</v>
      </c>
      <c r="H48" s="352" t="s">
        <v>771</v>
      </c>
      <c r="I48" s="214" t="s">
        <v>462</v>
      </c>
      <c r="J48" s="156"/>
      <c r="K48" s="154" t="s">
        <v>476</v>
      </c>
      <c r="L48" s="166" t="s">
        <v>491</v>
      </c>
    </row>
    <row r="49" spans="2:12" ht="36" customHeight="1">
      <c r="B49" s="825">
        <v>14</v>
      </c>
      <c r="C49" s="802" t="s">
        <v>492</v>
      </c>
      <c r="D49" s="819" t="s">
        <v>273</v>
      </c>
      <c r="E49" s="821" t="s">
        <v>647</v>
      </c>
      <c r="F49" s="822" t="s">
        <v>981</v>
      </c>
      <c r="G49" s="349">
        <v>1</v>
      </c>
      <c r="H49" s="350" t="s">
        <v>794</v>
      </c>
      <c r="I49" s="213" t="s">
        <v>496</v>
      </c>
      <c r="J49" s="160" t="s">
        <v>285</v>
      </c>
      <c r="K49" s="163" t="s">
        <v>474</v>
      </c>
      <c r="L49" s="215" t="s">
        <v>76</v>
      </c>
    </row>
    <row r="50" spans="2:12" ht="36" customHeight="1">
      <c r="B50" s="825"/>
      <c r="C50" s="802"/>
      <c r="D50" s="819"/>
      <c r="E50" s="821"/>
      <c r="F50" s="822"/>
      <c r="G50" s="349">
        <v>2</v>
      </c>
      <c r="H50" s="350" t="s">
        <v>985</v>
      </c>
      <c r="I50" s="213"/>
      <c r="J50" s="160"/>
      <c r="K50" s="163"/>
      <c r="L50" s="215"/>
    </row>
    <row r="51" spans="2:12" ht="45.75" customHeight="1">
      <c r="B51" s="825"/>
      <c r="C51" s="802"/>
      <c r="D51" s="819"/>
      <c r="E51" s="821"/>
      <c r="F51" s="822"/>
      <c r="G51" s="349">
        <v>3</v>
      </c>
      <c r="H51" s="350" t="s">
        <v>987</v>
      </c>
      <c r="I51" s="317"/>
      <c r="J51" s="315"/>
      <c r="K51" s="163"/>
      <c r="L51" s="319"/>
    </row>
    <row r="52" spans="2:12" ht="45.75" customHeight="1">
      <c r="B52" s="825"/>
      <c r="C52" s="802"/>
      <c r="D52" s="819"/>
      <c r="E52" s="821"/>
      <c r="F52" s="822"/>
      <c r="G52" s="366">
        <v>4</v>
      </c>
      <c r="H52" s="369" t="s">
        <v>988</v>
      </c>
      <c r="I52" s="317"/>
      <c r="J52" s="315"/>
      <c r="K52" s="163"/>
      <c r="L52" s="319"/>
    </row>
    <row r="53" spans="2:12" ht="42.75" customHeight="1">
      <c r="B53" s="825"/>
      <c r="C53" s="802"/>
      <c r="D53" s="819"/>
      <c r="E53" s="819" t="s">
        <v>650</v>
      </c>
      <c r="F53" s="802" t="s">
        <v>974</v>
      </c>
      <c r="G53" s="368">
        <v>1</v>
      </c>
      <c r="H53" s="406" t="s">
        <v>1158</v>
      </c>
      <c r="I53" s="213"/>
      <c r="J53" s="160"/>
      <c r="K53" s="163"/>
      <c r="L53" s="215"/>
    </row>
    <row r="54" spans="2:12" ht="32.25" customHeight="1">
      <c r="B54" s="825"/>
      <c r="C54" s="802"/>
      <c r="D54" s="819"/>
      <c r="E54" s="819"/>
      <c r="F54" s="802"/>
      <c r="G54" s="349">
        <v>2</v>
      </c>
      <c r="H54" s="369" t="s">
        <v>659</v>
      </c>
      <c r="I54" s="213"/>
      <c r="J54" s="160"/>
      <c r="K54" s="163"/>
      <c r="L54" s="215"/>
    </row>
    <row r="55" spans="2:12" ht="47.25" customHeight="1">
      <c r="B55" s="842">
        <v>15</v>
      </c>
      <c r="C55" s="818" t="s">
        <v>449</v>
      </c>
      <c r="D55" s="820" t="s">
        <v>575</v>
      </c>
      <c r="E55" s="820" t="s">
        <v>600</v>
      </c>
      <c r="F55" s="863" t="s">
        <v>804</v>
      </c>
      <c r="G55" s="346">
        <v>1</v>
      </c>
      <c r="H55" s="347" t="s">
        <v>601</v>
      </c>
      <c r="I55" s="214" t="s">
        <v>461</v>
      </c>
      <c r="J55" s="157" t="s">
        <v>248</v>
      </c>
      <c r="K55" s="214" t="s">
        <v>489</v>
      </c>
      <c r="L55" s="212" t="s">
        <v>490</v>
      </c>
    </row>
    <row r="56" spans="2:12" ht="67.5" customHeight="1">
      <c r="B56" s="842"/>
      <c r="C56" s="818"/>
      <c r="D56" s="820"/>
      <c r="E56" s="820"/>
      <c r="F56" s="863"/>
      <c r="G56" s="346">
        <v>2</v>
      </c>
      <c r="H56" s="347" t="s">
        <v>602</v>
      </c>
      <c r="I56" s="318"/>
      <c r="J56" s="314"/>
      <c r="K56" s="318"/>
      <c r="L56" s="316"/>
    </row>
    <row r="57" spans="2:12" ht="32.25" customHeight="1">
      <c r="B57" s="842"/>
      <c r="C57" s="818"/>
      <c r="D57" s="820"/>
      <c r="E57" s="820"/>
      <c r="F57" s="863"/>
      <c r="G57" s="346">
        <v>3</v>
      </c>
      <c r="H57" s="347" t="s">
        <v>603</v>
      </c>
      <c r="I57" s="318"/>
      <c r="J57" s="314"/>
      <c r="K57" s="318"/>
      <c r="L57" s="316"/>
    </row>
    <row r="58" spans="2:12" ht="57" customHeight="1">
      <c r="B58" s="842"/>
      <c r="C58" s="818"/>
      <c r="D58" s="820"/>
      <c r="E58" s="820" t="s">
        <v>604</v>
      </c>
      <c r="F58" s="824" t="s">
        <v>609</v>
      </c>
      <c r="G58" s="346">
        <v>1</v>
      </c>
      <c r="H58" s="347" t="s">
        <v>748</v>
      </c>
      <c r="I58" s="318"/>
      <c r="J58" s="314"/>
      <c r="K58" s="318"/>
      <c r="L58" s="316"/>
    </row>
    <row r="59" spans="2:12" ht="54.75" customHeight="1">
      <c r="B59" s="842"/>
      <c r="C59" s="818"/>
      <c r="D59" s="820"/>
      <c r="E59" s="820"/>
      <c r="F59" s="824"/>
      <c r="G59" s="346">
        <v>2</v>
      </c>
      <c r="H59" s="347" t="s">
        <v>867</v>
      </c>
      <c r="I59" s="318"/>
      <c r="J59" s="314"/>
      <c r="K59" s="318"/>
      <c r="L59" s="316"/>
    </row>
    <row r="60" spans="2:12" ht="83.25" customHeight="1">
      <c r="B60" s="825">
        <v>16</v>
      </c>
      <c r="C60" s="802" t="s">
        <v>493</v>
      </c>
      <c r="D60" s="819" t="s">
        <v>576</v>
      </c>
      <c r="E60" s="821" t="s">
        <v>585</v>
      </c>
      <c r="F60" s="822" t="s">
        <v>858</v>
      </c>
      <c r="G60" s="349">
        <v>1</v>
      </c>
      <c r="H60" s="350" t="s">
        <v>564</v>
      </c>
      <c r="I60" s="213" t="s">
        <v>460</v>
      </c>
      <c r="J60" s="160" t="s">
        <v>241</v>
      </c>
      <c r="K60" s="164" t="s">
        <v>468</v>
      </c>
      <c r="L60" s="215" t="s">
        <v>488</v>
      </c>
    </row>
    <row r="61" spans="2:12" ht="69" customHeight="1">
      <c r="B61" s="825"/>
      <c r="C61" s="802"/>
      <c r="D61" s="819"/>
      <c r="E61" s="821"/>
      <c r="F61" s="822"/>
      <c r="G61" s="349">
        <v>2</v>
      </c>
      <c r="H61" s="350" t="s">
        <v>964</v>
      </c>
    </row>
    <row r="62" spans="2:12"/>
    <row r="63" spans="2:12" hidden="1">
      <c r="G63" s="325"/>
    </row>
    <row r="80"/>
  </sheetData>
  <mergeCells count="79">
    <mergeCell ref="E2:F2"/>
    <mergeCell ref="G2:H2"/>
    <mergeCell ref="I2:J2"/>
    <mergeCell ref="B7:B8"/>
    <mergeCell ref="C7:C8"/>
    <mergeCell ref="B3:B5"/>
    <mergeCell ref="C3:C5"/>
    <mergeCell ref="D3:D5"/>
    <mergeCell ref="K7:K8"/>
    <mergeCell ref="L7:L8"/>
    <mergeCell ref="K9:K10"/>
    <mergeCell ref="L9:L10"/>
    <mergeCell ref="B9:B10"/>
    <mergeCell ref="C9:C10"/>
    <mergeCell ref="D9:D10"/>
    <mergeCell ref="E9:E10"/>
    <mergeCell ref="F9:F10"/>
    <mergeCell ref="K2:L2"/>
    <mergeCell ref="D1:H1"/>
    <mergeCell ref="B60:B61"/>
    <mergeCell ref="C60:C61"/>
    <mergeCell ref="D60:D61"/>
    <mergeCell ref="E60:E61"/>
    <mergeCell ref="F60:F61"/>
    <mergeCell ref="B49:B54"/>
    <mergeCell ref="C49:C54"/>
    <mergeCell ref="D49:D54"/>
    <mergeCell ref="E53:E54"/>
    <mergeCell ref="F53:F54"/>
    <mergeCell ref="E38:E41"/>
    <mergeCell ref="F38:F41"/>
    <mergeCell ref="D38:D41"/>
    <mergeCell ref="F43:F47"/>
    <mergeCell ref="D32:D33"/>
    <mergeCell ref="E32:E33"/>
    <mergeCell ref="E27:E28"/>
    <mergeCell ref="B29:B31"/>
    <mergeCell ref="C29:C31"/>
    <mergeCell ref="D29:D31"/>
    <mergeCell ref="E29:E31"/>
    <mergeCell ref="B11:B18"/>
    <mergeCell ref="C11:C18"/>
    <mergeCell ref="D11:D18"/>
    <mergeCell ref="E11:E13"/>
    <mergeCell ref="F11:F13"/>
    <mergeCell ref="E19:E21"/>
    <mergeCell ref="F19:F21"/>
    <mergeCell ref="B19:B21"/>
    <mergeCell ref="C19:C21"/>
    <mergeCell ref="D19:D21"/>
    <mergeCell ref="F23:F24"/>
    <mergeCell ref="F32:F33"/>
    <mergeCell ref="F29:F31"/>
    <mergeCell ref="F27:F28"/>
    <mergeCell ref="B22:B24"/>
    <mergeCell ref="C22:C24"/>
    <mergeCell ref="D22:D24"/>
    <mergeCell ref="E23:E24"/>
    <mergeCell ref="B25:B26"/>
    <mergeCell ref="C25:C26"/>
    <mergeCell ref="D25:D26"/>
    <mergeCell ref="B27:B28"/>
    <mergeCell ref="C27:C28"/>
    <mergeCell ref="D27:D28"/>
    <mergeCell ref="B32:B33"/>
    <mergeCell ref="C32:C33"/>
    <mergeCell ref="F55:F57"/>
    <mergeCell ref="F58:F59"/>
    <mergeCell ref="D55:D59"/>
    <mergeCell ref="E58:E59"/>
    <mergeCell ref="B34:B47"/>
    <mergeCell ref="C34:C47"/>
    <mergeCell ref="B55:B59"/>
    <mergeCell ref="C55:C59"/>
    <mergeCell ref="E55:E57"/>
    <mergeCell ref="E49:E52"/>
    <mergeCell ref="F49:F52"/>
    <mergeCell ref="D43:D47"/>
    <mergeCell ref="E43:E47"/>
  </mergeCells>
  <phoneticPr fontId="35" type="noConversion"/>
  <printOptions horizontalCentered="1"/>
  <pageMargins left="0.51181102362204722" right="0.51181102362204722" top="0.39370078740157483" bottom="0.39370078740157483" header="0.31496062992125984" footer="0.31496062992125984"/>
  <pageSetup paperSize="9" scale="73" fitToHeight="0" orientation="landscape" horizontalDpi="300" verticalDpi="300" r:id="rId1"/>
  <rowBreaks count="5" manualBreakCount="5">
    <brk id="13" min="1" max="7" man="1"/>
    <brk id="24" min="1" max="7" man="1"/>
    <brk id="33" min="1" max="7" man="1"/>
    <brk id="44" min="1" max="7" man="1"/>
    <brk id="54" min="1" max="7"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2:M11"/>
  <sheetViews>
    <sheetView showGridLines="0" workbookViewId="0">
      <selection activeCell="D20" sqref="D20"/>
    </sheetView>
  </sheetViews>
  <sheetFormatPr baseColWidth="10" defaultRowHeight="15"/>
  <cols>
    <col min="1" max="1" width="6.28515625" customWidth="1"/>
    <col min="2" max="2" width="4" customWidth="1"/>
    <col min="3" max="3" width="34.140625" customWidth="1"/>
    <col min="4" max="4" width="20.85546875" bestFit="1" customWidth="1"/>
    <col min="5" max="5" width="19.28515625" bestFit="1" customWidth="1"/>
    <col min="6" max="6" width="20.85546875" bestFit="1" customWidth="1"/>
    <col min="7" max="7" width="19.28515625" bestFit="1" customWidth="1"/>
    <col min="8" max="8" width="20.85546875" bestFit="1" customWidth="1"/>
    <col min="9" max="9" width="19.28515625" bestFit="1" customWidth="1"/>
    <col min="10" max="10" width="20.85546875" bestFit="1" customWidth="1"/>
    <col min="11" max="11" width="19.28515625" bestFit="1" customWidth="1"/>
    <col min="12" max="13" width="3.140625" bestFit="1" customWidth="1"/>
  </cols>
  <sheetData>
    <row r="2" spans="2:13" s="148" customFormat="1" ht="26.25" customHeight="1">
      <c r="B2" s="148" t="s">
        <v>597</v>
      </c>
      <c r="F2" s="837" t="s">
        <v>1147</v>
      </c>
      <c r="G2" s="837"/>
      <c r="H2" s="837" t="s">
        <v>1153</v>
      </c>
      <c r="I2" s="837"/>
      <c r="J2" s="837" t="s">
        <v>1154</v>
      </c>
      <c r="K2" s="837"/>
    </row>
    <row r="3" spans="2:13" ht="21" customHeight="1">
      <c r="B3" s="208" t="s">
        <v>448</v>
      </c>
      <c r="C3" s="208" t="s">
        <v>577</v>
      </c>
      <c r="D3" s="208" t="s">
        <v>598</v>
      </c>
      <c r="E3" s="321" t="s">
        <v>662</v>
      </c>
      <c r="F3" s="208" t="s">
        <v>598</v>
      </c>
      <c r="G3" s="208" t="s">
        <v>662</v>
      </c>
      <c r="H3" s="208" t="s">
        <v>598</v>
      </c>
      <c r="I3" s="208" t="s">
        <v>662</v>
      </c>
      <c r="J3" s="208" t="s">
        <v>598</v>
      </c>
      <c r="K3" s="208" t="s">
        <v>662</v>
      </c>
    </row>
    <row r="4" spans="2:13" ht="21.75" customHeight="1">
      <c r="B4" s="207">
        <v>1</v>
      </c>
      <c r="C4" s="219" t="s">
        <v>599</v>
      </c>
      <c r="D4" s="207">
        <v>10</v>
      </c>
      <c r="E4" s="327">
        <v>18</v>
      </c>
      <c r="F4" s="330">
        <v>8</v>
      </c>
      <c r="G4" s="330">
        <v>15</v>
      </c>
      <c r="H4" s="330">
        <v>2</v>
      </c>
      <c r="I4" s="330">
        <v>3</v>
      </c>
      <c r="J4" s="330">
        <v>5</v>
      </c>
      <c r="K4" s="330">
        <v>10</v>
      </c>
      <c r="L4">
        <f>+F4+H4</f>
        <v>10</v>
      </c>
      <c r="M4" s="336">
        <f>+G4+I4</f>
        <v>18</v>
      </c>
    </row>
    <row r="5" spans="2:13" ht="21.75" customHeight="1">
      <c r="B5" s="205">
        <v>2</v>
      </c>
      <c r="C5" s="220" t="s">
        <v>737</v>
      </c>
      <c r="D5" s="205">
        <v>7</v>
      </c>
      <c r="E5" s="328">
        <v>16</v>
      </c>
      <c r="F5" s="205">
        <v>5</v>
      </c>
      <c r="G5" s="205">
        <v>12</v>
      </c>
      <c r="H5" s="205">
        <v>2</v>
      </c>
      <c r="I5" s="205">
        <v>4</v>
      </c>
      <c r="J5" s="205">
        <v>2</v>
      </c>
      <c r="K5" s="205">
        <v>5</v>
      </c>
      <c r="L5" s="336">
        <f t="shared" ref="L5:M10" si="0">+F5+H5</f>
        <v>7</v>
      </c>
      <c r="M5">
        <f t="shared" si="0"/>
        <v>16</v>
      </c>
    </row>
    <row r="6" spans="2:13" ht="30">
      <c r="B6" s="207">
        <v>3</v>
      </c>
      <c r="C6" s="219" t="s">
        <v>462</v>
      </c>
      <c r="D6" s="207">
        <v>6</v>
      </c>
      <c r="E6" s="327">
        <v>8</v>
      </c>
      <c r="F6" s="330">
        <v>6</v>
      </c>
      <c r="G6" s="330">
        <v>8</v>
      </c>
      <c r="H6" s="322"/>
      <c r="I6" s="330">
        <v>0</v>
      </c>
      <c r="J6" s="330">
        <v>6</v>
      </c>
      <c r="K6" s="330">
        <v>8</v>
      </c>
      <c r="L6">
        <f t="shared" si="0"/>
        <v>6</v>
      </c>
      <c r="M6">
        <f t="shared" si="0"/>
        <v>8</v>
      </c>
    </row>
    <row r="7" spans="2:13" ht="21.75" customHeight="1">
      <c r="B7" s="205">
        <v>4</v>
      </c>
      <c r="C7" s="220" t="s">
        <v>738</v>
      </c>
      <c r="D7" s="205">
        <v>10</v>
      </c>
      <c r="E7" s="328">
        <v>20</v>
      </c>
      <c r="F7" s="205">
        <v>7</v>
      </c>
      <c r="G7" s="205">
        <v>11</v>
      </c>
      <c r="H7" s="205">
        <v>3</v>
      </c>
      <c r="I7" s="205">
        <v>9</v>
      </c>
      <c r="J7" s="205">
        <v>3</v>
      </c>
      <c r="K7" s="205">
        <v>4</v>
      </c>
      <c r="L7">
        <f t="shared" si="0"/>
        <v>10</v>
      </c>
      <c r="M7">
        <f t="shared" si="0"/>
        <v>20</v>
      </c>
    </row>
    <row r="8" spans="2:13" ht="21.75" customHeight="1">
      <c r="B8" s="207">
        <v>5</v>
      </c>
      <c r="C8" s="219" t="s">
        <v>739</v>
      </c>
      <c r="D8" s="207">
        <v>7</v>
      </c>
      <c r="E8" s="327">
        <v>14</v>
      </c>
      <c r="F8" s="330">
        <v>4</v>
      </c>
      <c r="G8" s="330">
        <v>6</v>
      </c>
      <c r="H8" s="330">
        <v>3</v>
      </c>
      <c r="I8" s="330">
        <v>8</v>
      </c>
      <c r="J8" s="330">
        <v>7</v>
      </c>
      <c r="K8" s="330">
        <v>14</v>
      </c>
      <c r="L8" s="335">
        <f t="shared" si="0"/>
        <v>7</v>
      </c>
      <c r="M8">
        <f t="shared" si="0"/>
        <v>14</v>
      </c>
    </row>
    <row r="9" spans="2:13" ht="21.75" customHeight="1">
      <c r="B9" s="205">
        <v>6</v>
      </c>
      <c r="C9" s="220" t="s">
        <v>500</v>
      </c>
      <c r="D9" s="205">
        <v>5</v>
      </c>
      <c r="E9" s="328">
        <v>15</v>
      </c>
      <c r="F9" s="205">
        <v>5</v>
      </c>
      <c r="G9" s="205">
        <v>15</v>
      </c>
      <c r="H9" s="322"/>
      <c r="I9" s="205"/>
      <c r="J9" s="205">
        <v>2</v>
      </c>
      <c r="K9" s="205">
        <v>6</v>
      </c>
      <c r="L9">
        <f t="shared" si="0"/>
        <v>5</v>
      </c>
      <c r="M9">
        <f t="shared" si="0"/>
        <v>15</v>
      </c>
    </row>
    <row r="10" spans="2:13" ht="35.25" customHeight="1">
      <c r="B10" s="207">
        <v>7</v>
      </c>
      <c r="C10" s="219" t="s">
        <v>740</v>
      </c>
      <c r="D10" s="207">
        <v>5</v>
      </c>
      <c r="E10" s="327">
        <v>6</v>
      </c>
      <c r="F10" s="330">
        <v>4</v>
      </c>
      <c r="G10" s="330">
        <v>4</v>
      </c>
      <c r="H10" s="322">
        <v>1</v>
      </c>
      <c r="I10" s="205">
        <v>2</v>
      </c>
      <c r="J10" s="330">
        <v>2</v>
      </c>
      <c r="K10" s="330">
        <v>2</v>
      </c>
      <c r="L10">
        <f t="shared" si="0"/>
        <v>5</v>
      </c>
      <c r="M10">
        <f t="shared" si="0"/>
        <v>6</v>
      </c>
    </row>
    <row r="11" spans="2:13" ht="19.5" customHeight="1">
      <c r="D11" s="231">
        <f t="shared" ref="D11:M11" si="1">SUM(D4:D10)</f>
        <v>50</v>
      </c>
      <c r="E11" s="329">
        <f t="shared" si="1"/>
        <v>97</v>
      </c>
      <c r="F11" s="231">
        <f t="shared" si="1"/>
        <v>39</v>
      </c>
      <c r="G11" s="231">
        <f t="shared" si="1"/>
        <v>71</v>
      </c>
      <c r="H11" s="231">
        <f t="shared" si="1"/>
        <v>11</v>
      </c>
      <c r="I11" s="231">
        <f t="shared" si="1"/>
        <v>26</v>
      </c>
      <c r="J11" s="231">
        <f t="shared" si="1"/>
        <v>27</v>
      </c>
      <c r="K11" s="231">
        <f t="shared" si="1"/>
        <v>49</v>
      </c>
      <c r="L11" s="334">
        <f t="shared" si="1"/>
        <v>50</v>
      </c>
      <c r="M11" s="334">
        <f t="shared" si="1"/>
        <v>97</v>
      </c>
    </row>
  </sheetData>
  <mergeCells count="3">
    <mergeCell ref="H2:I2"/>
    <mergeCell ref="F2:G2"/>
    <mergeCell ref="J2:K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FC165"/>
  <sheetViews>
    <sheetView showGridLines="0" topLeftCell="A28" zoomScale="90" zoomScaleNormal="90" zoomScaleSheetLayoutView="98" workbookViewId="0">
      <selection activeCell="P70" sqref="P70"/>
    </sheetView>
  </sheetViews>
  <sheetFormatPr baseColWidth="10" defaultColWidth="0" defaultRowHeight="15" zeroHeight="1"/>
  <cols>
    <col min="1" max="1" width="2" style="204" customWidth="1"/>
    <col min="2" max="2" width="16.85546875" style="623" customWidth="1"/>
    <col min="3" max="3" width="15" style="623" customWidth="1"/>
    <col min="4" max="4" width="21.42578125" style="147" customWidth="1"/>
    <col min="5" max="5" width="4.42578125" style="8" customWidth="1"/>
    <col min="6" max="6" width="31.7109375" customWidth="1"/>
    <col min="7" max="7" width="3.85546875" style="75" customWidth="1"/>
    <col min="8" max="8" width="44.85546875" style="75" customWidth="1"/>
    <col min="9" max="9" width="19" style="147" customWidth="1"/>
    <col min="10" max="10" width="37" style="75" customWidth="1"/>
    <col min="11" max="11" width="12" style="183" customWidth="1"/>
    <col min="12" max="12" width="15.85546875" style="183" customWidth="1"/>
    <col min="13" max="13" width="25.5703125" style="218" customWidth="1"/>
    <col min="14" max="16" width="16.42578125" style="218" customWidth="1"/>
    <col min="17" max="17" width="16.42578125" style="147" customWidth="1"/>
    <col min="18" max="18" width="27.7109375" style="183" customWidth="1"/>
    <col min="19" max="19" width="28.7109375" style="75" customWidth="1"/>
    <col min="20" max="20" width="44.7109375" style="261" hidden="1" customWidth="1"/>
    <col min="21" max="21" width="11.42578125" style="204" customWidth="1"/>
    <col min="22" max="159" width="0" style="204" hidden="1" customWidth="1"/>
    <col min="160" max="16384" width="11.42578125" hidden="1"/>
  </cols>
  <sheetData>
    <row r="1" spans="1:159" ht="3.75" customHeight="1"/>
    <row r="2" spans="1:159" ht="15.75" customHeight="1">
      <c r="T2" s="260"/>
    </row>
    <row r="3" spans="1:159" s="204" customFormat="1" ht="18.75" customHeight="1">
      <c r="A3" s="228"/>
      <c r="B3" s="883" t="s">
        <v>756</v>
      </c>
      <c r="C3" s="883" t="s">
        <v>854</v>
      </c>
      <c r="D3" s="884" t="s">
        <v>747</v>
      </c>
      <c r="E3" s="885" t="s">
        <v>598</v>
      </c>
      <c r="F3" s="885"/>
      <c r="G3" s="885" t="s">
        <v>1167</v>
      </c>
      <c r="H3" s="885"/>
      <c r="I3" s="885" t="s">
        <v>1163</v>
      </c>
      <c r="J3" s="883" t="s">
        <v>1361</v>
      </c>
      <c r="K3" s="875" t="s">
        <v>525</v>
      </c>
      <c r="L3" s="875" t="s">
        <v>1053</v>
      </c>
      <c r="M3" s="875" t="s">
        <v>521</v>
      </c>
      <c r="N3" s="837" t="s">
        <v>992</v>
      </c>
      <c r="O3" s="837"/>
      <c r="P3" s="837"/>
      <c r="Q3" s="837"/>
      <c r="R3" s="875" t="s">
        <v>1155</v>
      </c>
      <c r="S3" s="875" t="s">
        <v>999</v>
      </c>
      <c r="T3" s="876" t="s">
        <v>825</v>
      </c>
    </row>
    <row r="4" spans="1:159" ht="21" customHeight="1">
      <c r="B4" s="883"/>
      <c r="C4" s="883"/>
      <c r="D4" s="884"/>
      <c r="E4" s="885"/>
      <c r="F4" s="885"/>
      <c r="G4" s="885"/>
      <c r="H4" s="885"/>
      <c r="I4" s="885"/>
      <c r="J4" s="883"/>
      <c r="K4" s="875"/>
      <c r="L4" s="875"/>
      <c r="M4" s="875"/>
      <c r="N4" s="624">
        <v>2022</v>
      </c>
      <c r="O4" s="624">
        <v>2023</v>
      </c>
      <c r="P4" s="624">
        <v>2024</v>
      </c>
      <c r="Q4" s="624">
        <v>2025</v>
      </c>
      <c r="R4" s="875"/>
      <c r="S4" s="875"/>
      <c r="T4" s="876"/>
    </row>
    <row r="5" spans="1:159" s="204" customFormat="1" ht="67.5" customHeight="1">
      <c r="B5" s="877" t="s">
        <v>1022</v>
      </c>
      <c r="C5" s="625" t="s">
        <v>856</v>
      </c>
      <c r="D5" s="877" t="s">
        <v>576</v>
      </c>
      <c r="E5" s="877" t="s">
        <v>580</v>
      </c>
      <c r="F5" s="880" t="s">
        <v>579</v>
      </c>
      <c r="G5" s="626">
        <v>1</v>
      </c>
      <c r="H5" s="345" t="s">
        <v>1290</v>
      </c>
      <c r="I5" s="627">
        <v>1</v>
      </c>
      <c r="J5" s="432" t="s">
        <v>1156</v>
      </c>
      <c r="K5" s="626" t="s">
        <v>526</v>
      </c>
      <c r="L5" s="626" t="s">
        <v>1054</v>
      </c>
      <c r="M5" s="432" t="s">
        <v>1023</v>
      </c>
      <c r="N5" s="627">
        <v>0.15</v>
      </c>
      <c r="O5" s="627">
        <v>0.5</v>
      </c>
      <c r="P5" s="627">
        <v>0.85</v>
      </c>
      <c r="Q5" s="627">
        <v>1</v>
      </c>
      <c r="R5" s="628" t="s">
        <v>324</v>
      </c>
      <c r="S5" s="625" t="s">
        <v>1215</v>
      </c>
      <c r="T5" s="629"/>
    </row>
    <row r="6" spans="1:159" s="204" customFormat="1" ht="68.25" customHeight="1">
      <c r="B6" s="878"/>
      <c r="C6" s="625" t="s">
        <v>856</v>
      </c>
      <c r="D6" s="878"/>
      <c r="E6" s="878"/>
      <c r="F6" s="881"/>
      <c r="G6" s="626">
        <v>2</v>
      </c>
      <c r="H6" s="345" t="s">
        <v>857</v>
      </c>
      <c r="I6" s="627">
        <v>1</v>
      </c>
      <c r="J6" s="432" t="s">
        <v>742</v>
      </c>
      <c r="K6" s="626" t="s">
        <v>526</v>
      </c>
      <c r="L6" s="626" t="s">
        <v>1054</v>
      </c>
      <c r="M6" s="626" t="s">
        <v>583</v>
      </c>
      <c r="N6" s="627">
        <v>0.15</v>
      </c>
      <c r="O6" s="627">
        <v>0.5</v>
      </c>
      <c r="P6" s="627">
        <v>0.85</v>
      </c>
      <c r="Q6" s="627">
        <v>1</v>
      </c>
      <c r="R6" s="628" t="s">
        <v>324</v>
      </c>
      <c r="S6" s="625" t="s">
        <v>1215</v>
      </c>
      <c r="T6" s="629"/>
    </row>
    <row r="7" spans="1:159" s="204" customFormat="1" ht="71.25" customHeight="1">
      <c r="B7" s="879"/>
      <c r="C7" s="625" t="s">
        <v>868</v>
      </c>
      <c r="D7" s="879"/>
      <c r="E7" s="879"/>
      <c r="F7" s="882"/>
      <c r="G7" s="626">
        <v>3</v>
      </c>
      <c r="H7" s="432" t="s">
        <v>1362</v>
      </c>
      <c r="I7" s="627">
        <v>1</v>
      </c>
      <c r="J7" s="432" t="s">
        <v>744</v>
      </c>
      <c r="K7" s="626" t="s">
        <v>526</v>
      </c>
      <c r="L7" s="626" t="s">
        <v>1054</v>
      </c>
      <c r="M7" s="627">
        <v>0</v>
      </c>
      <c r="N7" s="627">
        <v>0.1</v>
      </c>
      <c r="O7" s="627">
        <v>0.7</v>
      </c>
      <c r="P7" s="627">
        <v>1</v>
      </c>
      <c r="Q7" s="627" t="s">
        <v>330</v>
      </c>
      <c r="R7" s="625" t="s">
        <v>324</v>
      </c>
      <c r="S7" s="625" t="s">
        <v>1291</v>
      </c>
      <c r="T7" s="629"/>
    </row>
    <row r="8" spans="1:159" s="493" customFormat="1" ht="102">
      <c r="A8" s="204"/>
      <c r="B8" s="886" t="s">
        <v>755</v>
      </c>
      <c r="C8" s="517" t="s">
        <v>865</v>
      </c>
      <c r="D8" s="886" t="s">
        <v>576</v>
      </c>
      <c r="E8" s="886" t="s">
        <v>581</v>
      </c>
      <c r="F8" s="888" t="s">
        <v>582</v>
      </c>
      <c r="G8" s="592">
        <v>1</v>
      </c>
      <c r="H8" s="597" t="s">
        <v>562</v>
      </c>
      <c r="I8" s="602">
        <v>33</v>
      </c>
      <c r="J8" s="409" t="s">
        <v>1363</v>
      </c>
      <c r="K8" s="602" t="s">
        <v>772</v>
      </c>
      <c r="L8" s="602" t="s">
        <v>1054</v>
      </c>
      <c r="M8" s="491" t="s">
        <v>840</v>
      </c>
      <c r="N8" s="602">
        <v>27</v>
      </c>
      <c r="O8" s="602">
        <v>29</v>
      </c>
      <c r="P8" s="602">
        <v>31</v>
      </c>
      <c r="Q8" s="517">
        <f>I8</f>
        <v>33</v>
      </c>
      <c r="R8" s="517" t="s">
        <v>584</v>
      </c>
      <c r="S8" s="890" t="s">
        <v>1216</v>
      </c>
      <c r="T8" s="492"/>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row>
    <row r="9" spans="1:159" s="493" customFormat="1" ht="51">
      <c r="A9" s="204"/>
      <c r="B9" s="887"/>
      <c r="C9" s="517" t="s">
        <v>865</v>
      </c>
      <c r="D9" s="887"/>
      <c r="E9" s="887"/>
      <c r="F9" s="889"/>
      <c r="G9" s="602">
        <v>2</v>
      </c>
      <c r="H9" s="409" t="s">
        <v>563</v>
      </c>
      <c r="I9" s="602">
        <v>4</v>
      </c>
      <c r="J9" s="409" t="s">
        <v>758</v>
      </c>
      <c r="K9" s="602" t="s">
        <v>527</v>
      </c>
      <c r="L9" s="602" t="s">
        <v>1054</v>
      </c>
      <c r="M9" s="602">
        <v>1</v>
      </c>
      <c r="N9" s="491"/>
      <c r="O9" s="491"/>
      <c r="P9" s="602">
        <v>2</v>
      </c>
      <c r="Q9" s="517">
        <v>4</v>
      </c>
      <c r="R9" s="517" t="s">
        <v>584</v>
      </c>
      <c r="S9" s="891"/>
      <c r="T9" s="49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row>
    <row r="10" spans="1:159" s="204" customFormat="1" ht="94.5" customHeight="1">
      <c r="B10" s="877" t="s">
        <v>853</v>
      </c>
      <c r="C10" s="625" t="s">
        <v>856</v>
      </c>
      <c r="D10" s="877" t="s">
        <v>576</v>
      </c>
      <c r="E10" s="877" t="s">
        <v>585</v>
      </c>
      <c r="F10" s="880" t="s">
        <v>858</v>
      </c>
      <c r="G10" s="626">
        <v>1</v>
      </c>
      <c r="H10" s="432" t="s">
        <v>564</v>
      </c>
      <c r="I10" s="892">
        <v>0.5</v>
      </c>
      <c r="J10" s="900" t="s">
        <v>523</v>
      </c>
      <c r="K10" s="902" t="s">
        <v>526</v>
      </c>
      <c r="L10" s="902" t="s">
        <v>1054</v>
      </c>
      <c r="M10" s="902" t="s">
        <v>522</v>
      </c>
      <c r="N10" s="894">
        <v>0.05</v>
      </c>
      <c r="O10" s="894">
        <v>0.2</v>
      </c>
      <c r="P10" s="894">
        <v>0.35</v>
      </c>
      <c r="Q10" s="894">
        <v>0.5</v>
      </c>
      <c r="R10" s="896" t="s">
        <v>1292</v>
      </c>
      <c r="S10" s="896" t="s">
        <v>1215</v>
      </c>
      <c r="T10" s="898"/>
    </row>
    <row r="11" spans="1:159" s="204" customFormat="1" ht="87" customHeight="1">
      <c r="B11" s="879"/>
      <c r="C11" s="625" t="s">
        <v>856</v>
      </c>
      <c r="D11" s="879"/>
      <c r="E11" s="879"/>
      <c r="F11" s="882"/>
      <c r="G11" s="626">
        <v>2</v>
      </c>
      <c r="H11" s="432" t="s">
        <v>964</v>
      </c>
      <c r="I11" s="893"/>
      <c r="J11" s="901"/>
      <c r="K11" s="903"/>
      <c r="L11" s="903"/>
      <c r="M11" s="903"/>
      <c r="N11" s="895"/>
      <c r="O11" s="895"/>
      <c r="P11" s="895"/>
      <c r="Q11" s="895"/>
      <c r="R11" s="896"/>
      <c r="S11" s="897"/>
      <c r="T11" s="899"/>
    </row>
    <row r="12" spans="1:159" s="493" customFormat="1" ht="131.25" customHeight="1">
      <c r="A12" s="204"/>
      <c r="B12" s="886" t="s">
        <v>755</v>
      </c>
      <c r="C12" s="516" t="s">
        <v>868</v>
      </c>
      <c r="D12" s="886" t="s">
        <v>576</v>
      </c>
      <c r="E12" s="886" t="s">
        <v>586</v>
      </c>
      <c r="F12" s="888" t="s">
        <v>961</v>
      </c>
      <c r="G12" s="602">
        <v>1</v>
      </c>
      <c r="H12" s="409" t="s">
        <v>1364</v>
      </c>
      <c r="I12" s="495">
        <v>1</v>
      </c>
      <c r="J12" s="409" t="s">
        <v>1170</v>
      </c>
      <c r="K12" s="496" t="s">
        <v>526</v>
      </c>
      <c r="L12" s="602" t="s">
        <v>1054</v>
      </c>
      <c r="M12" s="602" t="s">
        <v>522</v>
      </c>
      <c r="N12" s="495">
        <v>0.15</v>
      </c>
      <c r="O12" s="495">
        <v>0.35</v>
      </c>
      <c r="P12" s="495">
        <v>0.65</v>
      </c>
      <c r="Q12" s="630">
        <v>1</v>
      </c>
      <c r="R12" s="517" t="s">
        <v>584</v>
      </c>
      <c r="S12" s="517" t="s">
        <v>1217</v>
      </c>
      <c r="T12" s="498"/>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row>
    <row r="13" spans="1:159" s="493" customFormat="1" ht="81" customHeight="1">
      <c r="A13" s="204"/>
      <c r="B13" s="887"/>
      <c r="C13" s="516" t="s">
        <v>868</v>
      </c>
      <c r="D13" s="887"/>
      <c r="E13" s="887"/>
      <c r="F13" s="889"/>
      <c r="G13" s="602">
        <v>2</v>
      </c>
      <c r="H13" s="409" t="s">
        <v>1293</v>
      </c>
      <c r="I13" s="495">
        <v>1</v>
      </c>
      <c r="J13" s="409" t="s">
        <v>1208</v>
      </c>
      <c r="K13" s="602" t="s">
        <v>526</v>
      </c>
      <c r="L13" s="602" t="s">
        <v>1054</v>
      </c>
      <c r="M13" s="602" t="s">
        <v>522</v>
      </c>
      <c r="N13" s="495">
        <v>0.25</v>
      </c>
      <c r="O13" s="495">
        <v>0.5</v>
      </c>
      <c r="P13" s="495">
        <v>0.75</v>
      </c>
      <c r="Q13" s="630">
        <v>1</v>
      </c>
      <c r="R13" s="517" t="s">
        <v>1209</v>
      </c>
      <c r="S13" s="517" t="s">
        <v>1218</v>
      </c>
      <c r="T13" s="499"/>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row>
    <row r="14" spans="1:159" s="204" customFormat="1" ht="76.5" customHeight="1">
      <c r="B14" s="877" t="s">
        <v>1365</v>
      </c>
      <c r="C14" s="625" t="s">
        <v>880</v>
      </c>
      <c r="D14" s="877" t="s">
        <v>576</v>
      </c>
      <c r="E14" s="877" t="s">
        <v>587</v>
      </c>
      <c r="F14" s="880" t="s">
        <v>734</v>
      </c>
      <c r="G14" s="626">
        <v>1</v>
      </c>
      <c r="H14" s="432" t="s">
        <v>1210</v>
      </c>
      <c r="I14" s="627">
        <v>1</v>
      </c>
      <c r="J14" s="432" t="s">
        <v>827</v>
      </c>
      <c r="K14" s="626" t="s">
        <v>526</v>
      </c>
      <c r="L14" s="626" t="s">
        <v>1054</v>
      </c>
      <c r="M14" s="626" t="s">
        <v>522</v>
      </c>
      <c r="N14" s="410">
        <v>0</v>
      </c>
      <c r="O14" s="410">
        <v>1</v>
      </c>
      <c r="P14" s="410" t="s">
        <v>330</v>
      </c>
      <c r="Q14" s="631" t="s">
        <v>330</v>
      </c>
      <c r="R14" s="625" t="s">
        <v>324</v>
      </c>
      <c r="S14" s="625" t="s">
        <v>1219</v>
      </c>
      <c r="T14" s="898"/>
    </row>
    <row r="15" spans="1:159" s="204" customFormat="1" ht="85.5" customHeight="1">
      <c r="B15" s="879"/>
      <c r="C15" s="625" t="s">
        <v>880</v>
      </c>
      <c r="D15" s="879"/>
      <c r="E15" s="879"/>
      <c r="F15" s="882"/>
      <c r="G15" s="626">
        <v>2</v>
      </c>
      <c r="H15" s="432" t="s">
        <v>1294</v>
      </c>
      <c r="I15" s="626">
        <v>120</v>
      </c>
      <c r="J15" s="432" t="s">
        <v>524</v>
      </c>
      <c r="K15" s="626" t="s">
        <v>772</v>
      </c>
      <c r="L15" s="626" t="s">
        <v>1055</v>
      </c>
      <c r="M15" s="626" t="s">
        <v>522</v>
      </c>
      <c r="N15" s="626" t="s">
        <v>330</v>
      </c>
      <c r="O15" s="626">
        <v>60</v>
      </c>
      <c r="P15" s="626">
        <v>60</v>
      </c>
      <c r="Q15" s="631" t="s">
        <v>330</v>
      </c>
      <c r="R15" s="625" t="s">
        <v>324</v>
      </c>
      <c r="S15" s="625" t="s">
        <v>571</v>
      </c>
      <c r="T15" s="907"/>
    </row>
    <row r="16" spans="1:159" s="493" customFormat="1" ht="85.5" customHeight="1">
      <c r="A16" s="204"/>
      <c r="B16" s="886" t="s">
        <v>755</v>
      </c>
      <c r="C16" s="516" t="s">
        <v>859</v>
      </c>
      <c r="D16" s="886" t="s">
        <v>576</v>
      </c>
      <c r="E16" s="886" t="s">
        <v>588</v>
      </c>
      <c r="F16" s="888" t="s">
        <v>1350</v>
      </c>
      <c r="G16" s="602">
        <v>1</v>
      </c>
      <c r="H16" s="603" t="s">
        <v>1211</v>
      </c>
      <c r="I16" s="604">
        <v>3</v>
      </c>
      <c r="J16" s="606" t="s">
        <v>1352</v>
      </c>
      <c r="K16" s="622" t="s">
        <v>772</v>
      </c>
      <c r="L16" s="622" t="s">
        <v>1054</v>
      </c>
      <c r="M16" s="622" t="s">
        <v>1186</v>
      </c>
      <c r="N16" s="622" t="s">
        <v>330</v>
      </c>
      <c r="O16" s="622" t="s">
        <v>330</v>
      </c>
      <c r="P16" s="622" t="s">
        <v>330</v>
      </c>
      <c r="Q16" s="632">
        <v>3</v>
      </c>
      <c r="R16" s="633" t="s">
        <v>504</v>
      </c>
      <c r="S16" s="634" t="s">
        <v>1366</v>
      </c>
      <c r="T16" s="500"/>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row>
    <row r="17" spans="1:159" s="493" customFormat="1" ht="85.5" customHeight="1">
      <c r="A17" s="204"/>
      <c r="B17" s="887"/>
      <c r="C17" s="516" t="s">
        <v>859</v>
      </c>
      <c r="D17" s="887"/>
      <c r="E17" s="887"/>
      <c r="F17" s="889"/>
      <c r="G17" s="604">
        <v>2</v>
      </c>
      <c r="H17" s="605" t="s">
        <v>1351</v>
      </c>
      <c r="I17" s="604">
        <v>12</v>
      </c>
      <c r="J17" s="607" t="s">
        <v>1353</v>
      </c>
      <c r="K17" s="604" t="s">
        <v>772</v>
      </c>
      <c r="L17" s="604" t="s">
        <v>1055</v>
      </c>
      <c r="M17" s="604" t="s">
        <v>522</v>
      </c>
      <c r="N17" s="604">
        <v>3</v>
      </c>
      <c r="O17" s="604">
        <v>3</v>
      </c>
      <c r="P17" s="604">
        <v>3</v>
      </c>
      <c r="Q17" s="635">
        <v>3</v>
      </c>
      <c r="R17" s="636" t="s">
        <v>324</v>
      </c>
      <c r="S17" s="637" t="s">
        <v>1367</v>
      </c>
      <c r="T17" s="500"/>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row>
    <row r="18" spans="1:159" s="204" customFormat="1" ht="306" customHeight="1">
      <c r="B18" s="625" t="s">
        <v>755</v>
      </c>
      <c r="C18" s="625" t="s">
        <v>1149</v>
      </c>
      <c r="D18" s="625" t="s">
        <v>576</v>
      </c>
      <c r="E18" s="625" t="s">
        <v>589</v>
      </c>
      <c r="F18" s="638" t="s">
        <v>1368</v>
      </c>
      <c r="G18" s="344">
        <v>1</v>
      </c>
      <c r="H18" s="345" t="s">
        <v>593</v>
      </c>
      <c r="I18" s="344">
        <v>3</v>
      </c>
      <c r="J18" s="432" t="s">
        <v>962</v>
      </c>
      <c r="K18" s="626" t="s">
        <v>527</v>
      </c>
      <c r="L18" s="626" t="s">
        <v>1055</v>
      </c>
      <c r="M18" s="639" t="s">
        <v>826</v>
      </c>
      <c r="N18" s="626">
        <v>1</v>
      </c>
      <c r="O18" s="626" t="s">
        <v>330</v>
      </c>
      <c r="P18" s="626" t="s">
        <v>330</v>
      </c>
      <c r="Q18" s="625">
        <v>1</v>
      </c>
      <c r="R18" s="628" t="s">
        <v>584</v>
      </c>
      <c r="S18" s="640" t="s">
        <v>1220</v>
      </c>
      <c r="T18" s="641"/>
    </row>
    <row r="19" spans="1:159" s="493" customFormat="1" ht="84.75" customHeight="1">
      <c r="A19" s="204"/>
      <c r="B19" s="516" t="s">
        <v>1369</v>
      </c>
      <c r="C19" s="516" t="s">
        <v>1150</v>
      </c>
      <c r="D19" s="516" t="s">
        <v>576</v>
      </c>
      <c r="E19" s="516" t="s">
        <v>591</v>
      </c>
      <c r="F19" s="642" t="s">
        <v>1370</v>
      </c>
      <c r="G19" s="602">
        <v>1</v>
      </c>
      <c r="H19" s="409" t="s">
        <v>565</v>
      </c>
      <c r="I19" s="495">
        <v>1</v>
      </c>
      <c r="J19" s="409" t="s">
        <v>746</v>
      </c>
      <c r="K19" s="602" t="s">
        <v>526</v>
      </c>
      <c r="L19" s="602" t="s">
        <v>1054</v>
      </c>
      <c r="M19" s="602" t="s">
        <v>522</v>
      </c>
      <c r="N19" s="501">
        <v>0.15</v>
      </c>
      <c r="O19" s="501">
        <v>0.5</v>
      </c>
      <c r="P19" s="501">
        <v>0.75</v>
      </c>
      <c r="Q19" s="630">
        <v>1</v>
      </c>
      <c r="R19" s="518" t="s">
        <v>324</v>
      </c>
      <c r="S19" s="518" t="s">
        <v>584</v>
      </c>
      <c r="T19" s="502"/>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row>
    <row r="20" spans="1:159" s="232" customFormat="1" ht="116.25" customHeight="1">
      <c r="A20" s="204"/>
      <c r="B20" s="625" t="s">
        <v>755</v>
      </c>
      <c r="C20" s="625" t="s">
        <v>865</v>
      </c>
      <c r="D20" s="625" t="s">
        <v>576</v>
      </c>
      <c r="E20" s="625" t="s">
        <v>594</v>
      </c>
      <c r="F20" s="638" t="s">
        <v>596</v>
      </c>
      <c r="G20" s="626">
        <v>1</v>
      </c>
      <c r="H20" s="345" t="s">
        <v>1371</v>
      </c>
      <c r="I20" s="442">
        <v>1</v>
      </c>
      <c r="J20" s="345" t="s">
        <v>1296</v>
      </c>
      <c r="K20" s="643" t="s">
        <v>526</v>
      </c>
      <c r="L20" s="626" t="s">
        <v>1054</v>
      </c>
      <c r="M20" s="626" t="s">
        <v>657</v>
      </c>
      <c r="N20" s="644">
        <v>0.25</v>
      </c>
      <c r="O20" s="644">
        <v>0.5</v>
      </c>
      <c r="P20" s="644">
        <v>0.75</v>
      </c>
      <c r="Q20" s="645">
        <f>I20</f>
        <v>1</v>
      </c>
      <c r="R20" s="646" t="s">
        <v>324</v>
      </c>
      <c r="S20" s="646" t="s">
        <v>1212</v>
      </c>
      <c r="T20" s="647"/>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row>
    <row r="21" spans="1:159" s="493" customFormat="1" ht="96.75" customHeight="1">
      <c r="A21" s="204"/>
      <c r="B21" s="886" t="s">
        <v>849</v>
      </c>
      <c r="C21" s="516" t="s">
        <v>883</v>
      </c>
      <c r="D21" s="886" t="s">
        <v>576</v>
      </c>
      <c r="E21" s="886" t="s">
        <v>595</v>
      </c>
      <c r="F21" s="888" t="s">
        <v>1172</v>
      </c>
      <c r="G21" s="496">
        <v>1</v>
      </c>
      <c r="H21" s="504" t="s">
        <v>1297</v>
      </c>
      <c r="I21" s="505">
        <v>1</v>
      </c>
      <c r="J21" s="506" t="s">
        <v>1298</v>
      </c>
      <c r="K21" s="507" t="s">
        <v>526</v>
      </c>
      <c r="L21" s="602" t="s">
        <v>1054</v>
      </c>
      <c r="M21" s="602" t="s">
        <v>522</v>
      </c>
      <c r="N21" s="501">
        <v>0.05</v>
      </c>
      <c r="O21" s="501">
        <v>0.4</v>
      </c>
      <c r="P21" s="501">
        <v>0.7</v>
      </c>
      <c r="Q21" s="508">
        <v>1</v>
      </c>
      <c r="R21" s="516" t="s">
        <v>1026</v>
      </c>
      <c r="S21" s="886" t="s">
        <v>886</v>
      </c>
      <c r="T21" s="905"/>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row>
    <row r="22" spans="1:159" s="493" customFormat="1" ht="86.25" customHeight="1">
      <c r="A22" s="204"/>
      <c r="B22" s="887"/>
      <c r="C22" s="516" t="s">
        <v>883</v>
      </c>
      <c r="D22" s="887"/>
      <c r="E22" s="887"/>
      <c r="F22" s="889"/>
      <c r="G22" s="602">
        <v>2</v>
      </c>
      <c r="H22" s="409" t="s">
        <v>851</v>
      </c>
      <c r="I22" s="505">
        <v>1</v>
      </c>
      <c r="J22" s="509" t="s">
        <v>1056</v>
      </c>
      <c r="K22" s="510" t="s">
        <v>766</v>
      </c>
      <c r="L22" s="602" t="s">
        <v>1054</v>
      </c>
      <c r="M22" s="593" t="s">
        <v>522</v>
      </c>
      <c r="N22" s="511">
        <v>0.1</v>
      </c>
      <c r="O22" s="511">
        <v>1</v>
      </c>
      <c r="P22" s="511" t="s">
        <v>330</v>
      </c>
      <c r="Q22" s="648" t="s">
        <v>330</v>
      </c>
      <c r="R22" s="516" t="s">
        <v>1026</v>
      </c>
      <c r="S22" s="904"/>
      <c r="T22" s="906"/>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row>
    <row r="23" spans="1:159" s="232" customFormat="1" ht="104.25" customHeight="1">
      <c r="A23" s="204"/>
      <c r="B23" s="877" t="s">
        <v>1136</v>
      </c>
      <c r="C23" s="625" t="s">
        <v>866</v>
      </c>
      <c r="D23" s="877" t="s">
        <v>575</v>
      </c>
      <c r="E23" s="877" t="s">
        <v>600</v>
      </c>
      <c r="F23" s="880" t="s">
        <v>1299</v>
      </c>
      <c r="G23" s="626">
        <v>1</v>
      </c>
      <c r="H23" s="432" t="s">
        <v>601</v>
      </c>
      <c r="I23" s="627">
        <v>1</v>
      </c>
      <c r="J23" s="649" t="s">
        <v>749</v>
      </c>
      <c r="K23" s="643" t="s">
        <v>526</v>
      </c>
      <c r="L23" s="626" t="s">
        <v>1054</v>
      </c>
      <c r="M23" s="627">
        <v>0.1</v>
      </c>
      <c r="N23" s="410">
        <v>1</v>
      </c>
      <c r="O23" s="410" t="s">
        <v>330</v>
      </c>
      <c r="P23" s="410" t="s">
        <v>330</v>
      </c>
      <c r="Q23" s="631" t="s">
        <v>330</v>
      </c>
      <c r="R23" s="625" t="s">
        <v>1221</v>
      </c>
      <c r="S23" s="625" t="s">
        <v>828</v>
      </c>
      <c r="T23" s="647"/>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row>
    <row r="24" spans="1:159" s="232" customFormat="1" ht="94.5" customHeight="1">
      <c r="A24" s="204"/>
      <c r="B24" s="878"/>
      <c r="C24" s="625" t="s">
        <v>866</v>
      </c>
      <c r="D24" s="878"/>
      <c r="E24" s="878"/>
      <c r="F24" s="881"/>
      <c r="G24" s="626">
        <v>2</v>
      </c>
      <c r="H24" s="432" t="s">
        <v>1300</v>
      </c>
      <c r="I24" s="627">
        <v>1</v>
      </c>
      <c r="J24" s="649" t="s">
        <v>761</v>
      </c>
      <c r="K24" s="643" t="s">
        <v>526</v>
      </c>
      <c r="L24" s="626" t="s">
        <v>1054</v>
      </c>
      <c r="M24" s="627" t="s">
        <v>522</v>
      </c>
      <c r="N24" s="410">
        <v>0.25</v>
      </c>
      <c r="O24" s="410">
        <v>0.5</v>
      </c>
      <c r="P24" s="410">
        <v>0.75</v>
      </c>
      <c r="Q24" s="631">
        <v>1</v>
      </c>
      <c r="R24" s="625" t="s">
        <v>1221</v>
      </c>
      <c r="S24" s="625" t="s">
        <v>578</v>
      </c>
      <c r="T24" s="647"/>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row>
    <row r="25" spans="1:159" s="232" customFormat="1" ht="109.5" customHeight="1">
      <c r="A25" s="204"/>
      <c r="B25" s="879"/>
      <c r="C25" s="625" t="s">
        <v>866</v>
      </c>
      <c r="D25" s="879"/>
      <c r="E25" s="879"/>
      <c r="F25" s="882"/>
      <c r="G25" s="626">
        <v>3</v>
      </c>
      <c r="H25" s="432" t="s">
        <v>603</v>
      </c>
      <c r="I25" s="627">
        <v>1</v>
      </c>
      <c r="J25" s="649" t="s">
        <v>1301</v>
      </c>
      <c r="K25" s="643" t="s">
        <v>526</v>
      </c>
      <c r="L25" s="626" t="s">
        <v>1054</v>
      </c>
      <c r="M25" s="627" t="s">
        <v>841</v>
      </c>
      <c r="N25" s="410">
        <v>0.1</v>
      </c>
      <c r="O25" s="410">
        <v>0.4</v>
      </c>
      <c r="P25" s="410">
        <v>0.7</v>
      </c>
      <c r="Q25" s="410">
        <v>1</v>
      </c>
      <c r="R25" s="625" t="s">
        <v>1221</v>
      </c>
      <c r="S25" s="625" t="s">
        <v>762</v>
      </c>
      <c r="T25" s="647"/>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row>
    <row r="26" spans="1:159" s="493" customFormat="1" ht="63.75" customHeight="1">
      <c r="A26" s="204"/>
      <c r="B26" s="886" t="s">
        <v>1135</v>
      </c>
      <c r="C26" s="516" t="s">
        <v>1144</v>
      </c>
      <c r="D26" s="886" t="s">
        <v>575</v>
      </c>
      <c r="E26" s="886" t="s">
        <v>604</v>
      </c>
      <c r="F26" s="888" t="s">
        <v>609</v>
      </c>
      <c r="G26" s="602">
        <v>1</v>
      </c>
      <c r="H26" s="409" t="s">
        <v>1372</v>
      </c>
      <c r="I26" s="495">
        <v>1</v>
      </c>
      <c r="J26" s="409" t="s">
        <v>1027</v>
      </c>
      <c r="K26" s="602" t="s">
        <v>526</v>
      </c>
      <c r="L26" s="602" t="s">
        <v>1054</v>
      </c>
      <c r="M26" s="495">
        <v>0.5</v>
      </c>
      <c r="N26" s="501">
        <v>1</v>
      </c>
      <c r="O26" s="630" t="s">
        <v>330</v>
      </c>
      <c r="P26" s="630" t="s">
        <v>330</v>
      </c>
      <c r="Q26" s="630" t="s">
        <v>330</v>
      </c>
      <c r="R26" s="886" t="s">
        <v>1221</v>
      </c>
      <c r="S26" s="886" t="s">
        <v>572</v>
      </c>
      <c r="T26" s="512"/>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row>
    <row r="27" spans="1:159" s="493" customFormat="1" ht="68.25" customHeight="1">
      <c r="A27" s="204"/>
      <c r="B27" s="887"/>
      <c r="C27" s="516" t="s">
        <v>1144</v>
      </c>
      <c r="D27" s="887"/>
      <c r="E27" s="887"/>
      <c r="F27" s="889"/>
      <c r="G27" s="602">
        <v>2</v>
      </c>
      <c r="H27" s="409" t="s">
        <v>867</v>
      </c>
      <c r="I27" s="495">
        <v>1</v>
      </c>
      <c r="J27" s="409" t="s">
        <v>1028</v>
      </c>
      <c r="K27" s="602" t="s">
        <v>526</v>
      </c>
      <c r="L27" s="602" t="s">
        <v>1054</v>
      </c>
      <c r="M27" s="495">
        <v>0.1</v>
      </c>
      <c r="N27" s="501">
        <v>0.25</v>
      </c>
      <c r="O27" s="501">
        <v>0.5</v>
      </c>
      <c r="P27" s="501">
        <v>0.75</v>
      </c>
      <c r="Q27" s="630">
        <v>1</v>
      </c>
      <c r="R27" s="887"/>
      <c r="S27" s="887"/>
      <c r="T27" s="513"/>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row>
    <row r="28" spans="1:159" s="232" customFormat="1" ht="135.94999999999999" customHeight="1">
      <c r="A28" s="204"/>
      <c r="B28" s="877" t="s">
        <v>755</v>
      </c>
      <c r="C28" s="650" t="s">
        <v>885</v>
      </c>
      <c r="D28" s="877" t="s">
        <v>575</v>
      </c>
      <c r="E28" s="877" t="s">
        <v>605</v>
      </c>
      <c r="F28" s="880" t="s">
        <v>621</v>
      </c>
      <c r="G28" s="626">
        <v>1</v>
      </c>
      <c r="H28" s="432" t="s">
        <v>1029</v>
      </c>
      <c r="I28" s="651">
        <v>0.5</v>
      </c>
      <c r="J28" s="652" t="s">
        <v>763</v>
      </c>
      <c r="K28" s="626" t="s">
        <v>526</v>
      </c>
      <c r="L28" s="626" t="s">
        <v>1054</v>
      </c>
      <c r="M28" s="653" t="s">
        <v>1057</v>
      </c>
      <c r="N28" s="627">
        <v>0</v>
      </c>
      <c r="O28" s="627">
        <v>0.15</v>
      </c>
      <c r="P28" s="627">
        <v>0.3</v>
      </c>
      <c r="Q28" s="654">
        <f>I28</f>
        <v>0.5</v>
      </c>
      <c r="R28" s="625" t="s">
        <v>352</v>
      </c>
      <c r="S28" s="625" t="s">
        <v>1222</v>
      </c>
      <c r="T28" s="629"/>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row>
    <row r="29" spans="1:159" s="232" customFormat="1" ht="75.75" customHeight="1">
      <c r="A29" s="204"/>
      <c r="B29" s="879"/>
      <c r="C29" s="650" t="s">
        <v>885</v>
      </c>
      <c r="D29" s="879"/>
      <c r="E29" s="879"/>
      <c r="F29" s="882"/>
      <c r="G29" s="655">
        <v>2</v>
      </c>
      <c r="H29" s="432" t="s">
        <v>1030</v>
      </c>
      <c r="I29" s="656">
        <v>0.3</v>
      </c>
      <c r="J29" s="432" t="s">
        <v>764</v>
      </c>
      <c r="K29" s="626" t="s">
        <v>526</v>
      </c>
      <c r="L29" s="626" t="s">
        <v>1054</v>
      </c>
      <c r="M29" s="627" t="s">
        <v>522</v>
      </c>
      <c r="N29" s="626" t="s">
        <v>330</v>
      </c>
      <c r="O29" s="627">
        <v>0.1</v>
      </c>
      <c r="P29" s="627">
        <v>0.2</v>
      </c>
      <c r="Q29" s="657">
        <f>I29</f>
        <v>0.3</v>
      </c>
      <c r="R29" s="625" t="s">
        <v>352</v>
      </c>
      <c r="S29" s="625" t="s">
        <v>1222</v>
      </c>
      <c r="T29" s="658" t="s">
        <v>829</v>
      </c>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row>
    <row r="30" spans="1:159" s="493" customFormat="1" ht="59.25" customHeight="1">
      <c r="A30" s="204"/>
      <c r="B30" s="886" t="s">
        <v>755</v>
      </c>
      <c r="C30" s="516" t="s">
        <v>865</v>
      </c>
      <c r="D30" s="886" t="s">
        <v>575</v>
      </c>
      <c r="E30" s="886" t="s">
        <v>606</v>
      </c>
      <c r="F30" s="888" t="s">
        <v>719</v>
      </c>
      <c r="G30" s="602">
        <v>1</v>
      </c>
      <c r="H30" s="409" t="s">
        <v>1373</v>
      </c>
      <c r="I30" s="495">
        <v>1</v>
      </c>
      <c r="J30" s="409" t="s">
        <v>1034</v>
      </c>
      <c r="K30" s="602" t="s">
        <v>527</v>
      </c>
      <c r="L30" s="602" t="s">
        <v>1054</v>
      </c>
      <c r="M30" s="602" t="s">
        <v>657</v>
      </c>
      <c r="N30" s="602" t="s">
        <v>330</v>
      </c>
      <c r="O30" s="495">
        <v>0.25</v>
      </c>
      <c r="P30" s="495">
        <v>0.6</v>
      </c>
      <c r="Q30" s="630">
        <v>1</v>
      </c>
      <c r="R30" s="517" t="s">
        <v>352</v>
      </c>
      <c r="S30" s="517" t="s">
        <v>1031</v>
      </c>
      <c r="T30" s="513"/>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row>
    <row r="31" spans="1:159" s="493" customFormat="1" ht="62.25" customHeight="1">
      <c r="A31" s="204"/>
      <c r="B31" s="887"/>
      <c r="C31" s="516" t="s">
        <v>865</v>
      </c>
      <c r="D31" s="887"/>
      <c r="E31" s="887"/>
      <c r="F31" s="889"/>
      <c r="G31" s="602">
        <v>2</v>
      </c>
      <c r="H31" s="409" t="s">
        <v>751</v>
      </c>
      <c r="I31" s="495">
        <v>1</v>
      </c>
      <c r="J31" s="409" t="s">
        <v>750</v>
      </c>
      <c r="K31" s="602" t="s">
        <v>526</v>
      </c>
      <c r="L31" s="602" t="s">
        <v>1054</v>
      </c>
      <c r="M31" s="501" t="s">
        <v>830</v>
      </c>
      <c r="N31" s="602" t="s">
        <v>330</v>
      </c>
      <c r="O31" s="495">
        <v>0.35</v>
      </c>
      <c r="P31" s="495">
        <v>0.7</v>
      </c>
      <c r="Q31" s="630">
        <f>I31</f>
        <v>1</v>
      </c>
      <c r="R31" s="517" t="s">
        <v>352</v>
      </c>
      <c r="S31" s="517" t="s">
        <v>1031</v>
      </c>
      <c r="T31" s="513"/>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row>
    <row r="32" spans="1:159" s="204" customFormat="1" ht="62.25" customHeight="1">
      <c r="B32" s="877" t="s">
        <v>754</v>
      </c>
      <c r="C32" s="650" t="s">
        <v>865</v>
      </c>
      <c r="D32" s="877" t="s">
        <v>575</v>
      </c>
      <c r="E32" s="877" t="s">
        <v>607</v>
      </c>
      <c r="F32" s="880" t="s">
        <v>1302</v>
      </c>
      <c r="G32" s="626">
        <v>1</v>
      </c>
      <c r="H32" s="432" t="s">
        <v>1032</v>
      </c>
      <c r="I32" s="627">
        <v>1</v>
      </c>
      <c r="J32" s="432" t="s">
        <v>1223</v>
      </c>
      <c r="K32" s="626" t="s">
        <v>527</v>
      </c>
      <c r="L32" s="626" t="s">
        <v>1054</v>
      </c>
      <c r="M32" s="626" t="s">
        <v>522</v>
      </c>
      <c r="N32" s="410">
        <v>0.5</v>
      </c>
      <c r="O32" s="627">
        <v>1</v>
      </c>
      <c r="P32" s="627" t="s">
        <v>330</v>
      </c>
      <c r="Q32" s="631" t="s">
        <v>330</v>
      </c>
      <c r="R32" s="877" t="s">
        <v>352</v>
      </c>
      <c r="S32" s="877" t="s">
        <v>831</v>
      </c>
      <c r="T32" s="641"/>
    </row>
    <row r="33" spans="1:159" s="232" customFormat="1" ht="50.25" customHeight="1">
      <c r="A33" s="204"/>
      <c r="B33" s="879"/>
      <c r="C33" s="650" t="s">
        <v>865</v>
      </c>
      <c r="D33" s="879"/>
      <c r="E33" s="879"/>
      <c r="F33" s="882"/>
      <c r="G33" s="626">
        <v>2</v>
      </c>
      <c r="H33" s="432" t="s">
        <v>1033</v>
      </c>
      <c r="I33" s="627">
        <v>0.5</v>
      </c>
      <c r="J33" s="432" t="s">
        <v>1374</v>
      </c>
      <c r="K33" s="626" t="s">
        <v>527</v>
      </c>
      <c r="L33" s="626" t="s">
        <v>1054</v>
      </c>
      <c r="M33" s="626" t="s">
        <v>657</v>
      </c>
      <c r="N33" s="410" t="s">
        <v>330</v>
      </c>
      <c r="O33" s="627" t="s">
        <v>330</v>
      </c>
      <c r="P33" s="627">
        <v>0.25</v>
      </c>
      <c r="Q33" s="631">
        <v>0.5</v>
      </c>
      <c r="R33" s="879"/>
      <c r="S33" s="879"/>
      <c r="T33" s="641"/>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c r="CS33" s="20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204"/>
      <c r="FA33" s="204"/>
      <c r="FB33" s="204"/>
      <c r="FC33" s="204"/>
    </row>
    <row r="34" spans="1:159" s="493" customFormat="1" ht="82.5" customHeight="1">
      <c r="A34" s="204"/>
      <c r="B34" s="886" t="s">
        <v>754</v>
      </c>
      <c r="C34" s="516" t="s">
        <v>1151</v>
      </c>
      <c r="D34" s="886" t="s">
        <v>575</v>
      </c>
      <c r="E34" s="886" t="s">
        <v>608</v>
      </c>
      <c r="F34" s="888" t="s">
        <v>1304</v>
      </c>
      <c r="G34" s="602">
        <v>1</v>
      </c>
      <c r="H34" s="409" t="s">
        <v>1000</v>
      </c>
      <c r="I34" s="514">
        <v>1</v>
      </c>
      <c r="J34" s="515" t="s">
        <v>1005</v>
      </c>
      <c r="K34" s="516" t="s">
        <v>772</v>
      </c>
      <c r="L34" s="602" t="s">
        <v>1058</v>
      </c>
      <c r="M34" s="515" t="s">
        <v>1067</v>
      </c>
      <c r="N34" s="514">
        <v>0.7</v>
      </c>
      <c r="O34" s="514">
        <v>0.8</v>
      </c>
      <c r="P34" s="514">
        <v>1</v>
      </c>
      <c r="Q34" s="630">
        <v>1</v>
      </c>
      <c r="R34" s="516" t="s">
        <v>959</v>
      </c>
      <c r="S34" s="517" t="s">
        <v>1213</v>
      </c>
      <c r="T34" s="492"/>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c r="BZ34" s="204"/>
      <c r="CA34" s="204"/>
      <c r="CB34" s="204"/>
      <c r="CC34" s="204"/>
      <c r="CD34" s="204"/>
      <c r="CE34" s="204"/>
      <c r="CF34" s="204"/>
      <c r="CG34" s="204"/>
      <c r="CH34" s="204"/>
      <c r="CI34" s="204"/>
      <c r="CJ34" s="204"/>
      <c r="CK34" s="204"/>
      <c r="CL34" s="204"/>
      <c r="CM34" s="204"/>
      <c r="CN34" s="204"/>
      <c r="CO34" s="204"/>
      <c r="CP34" s="204"/>
      <c r="CQ34" s="204"/>
      <c r="CR34" s="204"/>
      <c r="CS34" s="204"/>
      <c r="CT34" s="204"/>
      <c r="CU34" s="204"/>
      <c r="CV34" s="204"/>
      <c r="CW34" s="204"/>
      <c r="CX34" s="204"/>
      <c r="CY34" s="204"/>
      <c r="CZ34" s="204"/>
      <c r="DA34" s="204"/>
      <c r="DB34" s="204"/>
      <c r="DC34" s="204"/>
      <c r="DD34" s="204"/>
      <c r="DE34" s="204"/>
      <c r="DF34" s="204"/>
      <c r="DG34" s="204"/>
      <c r="DH34" s="204"/>
      <c r="DI34" s="204"/>
      <c r="DJ34" s="204"/>
      <c r="DK34" s="204"/>
      <c r="DL34" s="204"/>
      <c r="DM34" s="204"/>
      <c r="DN34" s="204"/>
      <c r="DO34" s="204"/>
      <c r="DP34" s="204"/>
      <c r="DQ34" s="204"/>
      <c r="DR34" s="204"/>
      <c r="DS34" s="204"/>
      <c r="DT34" s="204"/>
      <c r="DU34" s="204"/>
      <c r="DV34" s="204"/>
      <c r="DW34" s="204"/>
      <c r="DX34" s="204"/>
      <c r="DY34" s="204"/>
      <c r="DZ34" s="204"/>
      <c r="EA34" s="204"/>
      <c r="EB34" s="204"/>
      <c r="EC34" s="204"/>
      <c r="ED34" s="204"/>
      <c r="EE34" s="204"/>
      <c r="EF34" s="204"/>
      <c r="EG34" s="204"/>
      <c r="EH34" s="204"/>
      <c r="EI34" s="204"/>
      <c r="EJ34" s="204"/>
      <c r="EK34" s="204"/>
      <c r="EL34" s="204"/>
      <c r="EM34" s="204"/>
      <c r="EN34" s="204"/>
      <c r="EO34" s="204"/>
      <c r="EP34" s="204"/>
      <c r="EQ34" s="204"/>
      <c r="ER34" s="204"/>
      <c r="ES34" s="204"/>
      <c r="ET34" s="204"/>
      <c r="EU34" s="204"/>
      <c r="EV34" s="204"/>
      <c r="EW34" s="204"/>
      <c r="EX34" s="204"/>
      <c r="EY34" s="204"/>
      <c r="EZ34" s="204"/>
      <c r="FA34" s="204"/>
      <c r="FB34" s="204"/>
      <c r="FC34" s="204"/>
    </row>
    <row r="35" spans="1:159" s="493" customFormat="1" ht="75" customHeight="1">
      <c r="A35" s="204"/>
      <c r="B35" s="904"/>
      <c r="C35" s="516" t="s">
        <v>1151</v>
      </c>
      <c r="D35" s="904"/>
      <c r="E35" s="904"/>
      <c r="F35" s="908"/>
      <c r="G35" s="602">
        <v>2</v>
      </c>
      <c r="H35" s="409" t="s">
        <v>1001</v>
      </c>
      <c r="I35" s="495">
        <v>1</v>
      </c>
      <c r="J35" s="409" t="s">
        <v>1069</v>
      </c>
      <c r="K35" s="517" t="s">
        <v>960</v>
      </c>
      <c r="L35" s="602" t="s">
        <v>1058</v>
      </c>
      <c r="M35" s="514" t="s">
        <v>522</v>
      </c>
      <c r="N35" s="514">
        <v>1</v>
      </c>
      <c r="O35" s="514">
        <v>1</v>
      </c>
      <c r="P35" s="514">
        <v>1</v>
      </c>
      <c r="Q35" s="514">
        <v>1</v>
      </c>
      <c r="R35" s="516" t="s">
        <v>959</v>
      </c>
      <c r="S35" s="517" t="s">
        <v>1214</v>
      </c>
      <c r="T35" s="492"/>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row>
    <row r="36" spans="1:159" s="493" customFormat="1" ht="66" customHeight="1">
      <c r="A36" s="204"/>
      <c r="B36" s="887"/>
      <c r="C36" s="516" t="s">
        <v>1151</v>
      </c>
      <c r="D36" s="887"/>
      <c r="E36" s="887"/>
      <c r="F36" s="889"/>
      <c r="G36" s="518">
        <v>3</v>
      </c>
      <c r="H36" s="519" t="s">
        <v>1002</v>
      </c>
      <c r="I36" s="520">
        <v>1</v>
      </c>
      <c r="J36" s="598" t="s">
        <v>1068</v>
      </c>
      <c r="K36" s="594" t="s">
        <v>960</v>
      </c>
      <c r="L36" s="602" t="s">
        <v>1054</v>
      </c>
      <c r="M36" s="495">
        <v>0</v>
      </c>
      <c r="N36" s="495">
        <v>0.1</v>
      </c>
      <c r="O36" s="495">
        <v>0.35</v>
      </c>
      <c r="P36" s="495">
        <v>0.65</v>
      </c>
      <c r="Q36" s="630">
        <v>1</v>
      </c>
      <c r="R36" s="516" t="s">
        <v>959</v>
      </c>
      <c r="S36" s="517" t="s">
        <v>1003</v>
      </c>
      <c r="T36" s="492"/>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row>
    <row r="37" spans="1:159" s="204" customFormat="1" ht="66.75" customHeight="1">
      <c r="B37" s="877" t="s">
        <v>754</v>
      </c>
      <c r="C37" s="877" t="s">
        <v>1148</v>
      </c>
      <c r="D37" s="877" t="s">
        <v>575</v>
      </c>
      <c r="E37" s="877" t="s">
        <v>610</v>
      </c>
      <c r="F37" s="880" t="s">
        <v>1375</v>
      </c>
      <c r="G37" s="626">
        <v>1</v>
      </c>
      <c r="H37" s="432" t="s">
        <v>1035</v>
      </c>
      <c r="I37" s="627">
        <v>1</v>
      </c>
      <c r="J37" s="432" t="s">
        <v>1376</v>
      </c>
      <c r="K37" s="626" t="s">
        <v>526</v>
      </c>
      <c r="L37" s="626" t="s">
        <v>1054</v>
      </c>
      <c r="M37" s="653" t="s">
        <v>1305</v>
      </c>
      <c r="N37" s="410">
        <v>0.7</v>
      </c>
      <c r="O37" s="627">
        <v>1</v>
      </c>
      <c r="P37" s="626" t="s">
        <v>330</v>
      </c>
      <c r="Q37" s="631" t="s">
        <v>330</v>
      </c>
      <c r="R37" s="625" t="s">
        <v>352</v>
      </c>
      <c r="S37" s="625" t="s">
        <v>1224</v>
      </c>
      <c r="T37" s="659"/>
    </row>
    <row r="38" spans="1:159" s="232" customFormat="1" ht="42.75" customHeight="1">
      <c r="A38" s="204"/>
      <c r="B38" s="879"/>
      <c r="C38" s="879"/>
      <c r="D38" s="879"/>
      <c r="E38" s="879"/>
      <c r="F38" s="882"/>
      <c r="G38" s="626">
        <v>2</v>
      </c>
      <c r="H38" s="432" t="s">
        <v>1036</v>
      </c>
      <c r="I38" s="627">
        <v>0.5</v>
      </c>
      <c r="J38" s="432" t="s">
        <v>1306</v>
      </c>
      <c r="K38" s="626" t="s">
        <v>526</v>
      </c>
      <c r="L38" s="626" t="s">
        <v>1054</v>
      </c>
      <c r="M38" s="627" t="s">
        <v>522</v>
      </c>
      <c r="N38" s="410" t="s">
        <v>330</v>
      </c>
      <c r="O38" s="627">
        <v>0.15</v>
      </c>
      <c r="P38" s="627">
        <v>0.3</v>
      </c>
      <c r="Q38" s="631">
        <v>0.5</v>
      </c>
      <c r="R38" s="625" t="s">
        <v>352</v>
      </c>
      <c r="S38" s="625" t="s">
        <v>1224</v>
      </c>
      <c r="T38" s="660"/>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row>
    <row r="39" spans="1:159" s="493" customFormat="1" ht="63.75">
      <c r="A39" s="204"/>
      <c r="B39" s="886" t="s">
        <v>1377</v>
      </c>
      <c r="C39" s="517" t="s">
        <v>873</v>
      </c>
      <c r="D39" s="886" t="s">
        <v>252</v>
      </c>
      <c r="E39" s="886" t="s">
        <v>611</v>
      </c>
      <c r="F39" s="888" t="s">
        <v>1060</v>
      </c>
      <c r="G39" s="602">
        <v>1</v>
      </c>
      <c r="H39" s="409" t="s">
        <v>1018</v>
      </c>
      <c r="I39" s="495">
        <v>1</v>
      </c>
      <c r="J39" s="409" t="s">
        <v>1307</v>
      </c>
      <c r="K39" s="602" t="s">
        <v>526</v>
      </c>
      <c r="L39" s="602" t="s">
        <v>1054</v>
      </c>
      <c r="M39" s="495">
        <v>0.2</v>
      </c>
      <c r="N39" s="521">
        <v>0.4</v>
      </c>
      <c r="O39" s="522">
        <v>0.8</v>
      </c>
      <c r="P39" s="522">
        <v>1</v>
      </c>
      <c r="Q39" s="630" t="s">
        <v>330</v>
      </c>
      <c r="R39" s="517" t="s">
        <v>1378</v>
      </c>
      <c r="S39" s="517" t="s">
        <v>1379</v>
      </c>
      <c r="T39" s="513"/>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4"/>
      <c r="CI39" s="204"/>
      <c r="CJ39" s="204"/>
      <c r="CK39" s="204"/>
      <c r="CL39" s="204"/>
      <c r="CM39" s="204"/>
      <c r="CN39" s="204"/>
      <c r="CO39" s="204"/>
      <c r="CP39" s="204"/>
      <c r="CQ39" s="204"/>
      <c r="CR39" s="204"/>
      <c r="CS39" s="204"/>
      <c r="CT39" s="204"/>
      <c r="CU39" s="204"/>
      <c r="CV39" s="204"/>
      <c r="CW39" s="204"/>
      <c r="CX39" s="204"/>
      <c r="CY39" s="204"/>
      <c r="CZ39" s="204"/>
      <c r="DA39" s="204"/>
      <c r="DB39" s="204"/>
      <c r="DC39" s="204"/>
      <c r="DD39" s="204"/>
      <c r="DE39" s="204"/>
      <c r="DF39" s="204"/>
      <c r="DG39" s="204"/>
      <c r="DH39" s="204"/>
      <c r="DI39" s="204"/>
      <c r="DJ39" s="204"/>
      <c r="DK39" s="204"/>
      <c r="DL39" s="204"/>
      <c r="DM39" s="204"/>
      <c r="DN39" s="204"/>
      <c r="DO39" s="204"/>
      <c r="DP39" s="204"/>
      <c r="DQ39" s="204"/>
      <c r="DR39" s="204"/>
      <c r="DS39" s="204"/>
      <c r="DT39" s="204"/>
      <c r="DU39" s="204"/>
      <c r="DV39" s="204"/>
      <c r="DW39" s="204"/>
      <c r="DX39" s="204"/>
      <c r="DY39" s="204"/>
      <c r="DZ39" s="204"/>
      <c r="EA39" s="204"/>
      <c r="EB39" s="204"/>
      <c r="EC39" s="204"/>
      <c r="ED39" s="204"/>
      <c r="EE39" s="204"/>
      <c r="EF39" s="204"/>
      <c r="EG39" s="204"/>
      <c r="EH39" s="204"/>
      <c r="EI39" s="204"/>
      <c r="EJ39" s="204"/>
      <c r="EK39" s="204"/>
      <c r="EL39" s="204"/>
      <c r="EM39" s="204"/>
      <c r="EN39" s="204"/>
      <c r="EO39" s="204"/>
      <c r="EP39" s="204"/>
      <c r="EQ39" s="204"/>
      <c r="ER39" s="204"/>
      <c r="ES39" s="204"/>
      <c r="ET39" s="204"/>
      <c r="EU39" s="204"/>
      <c r="EV39" s="204"/>
      <c r="EW39" s="204"/>
      <c r="EX39" s="204"/>
      <c r="EY39" s="204"/>
      <c r="EZ39" s="204"/>
      <c r="FA39" s="204"/>
      <c r="FB39" s="204"/>
      <c r="FC39" s="204"/>
    </row>
    <row r="40" spans="1:159" s="493" customFormat="1" ht="93" customHeight="1">
      <c r="A40" s="204"/>
      <c r="B40" s="904"/>
      <c r="C40" s="517" t="s">
        <v>873</v>
      </c>
      <c r="D40" s="904"/>
      <c r="E40" s="904"/>
      <c r="F40" s="908"/>
      <c r="G40" s="602">
        <v>2</v>
      </c>
      <c r="H40" s="409" t="s">
        <v>1061</v>
      </c>
      <c r="I40" s="495">
        <v>1</v>
      </c>
      <c r="J40" s="409" t="s">
        <v>832</v>
      </c>
      <c r="K40" s="602" t="s">
        <v>526</v>
      </c>
      <c r="L40" s="602" t="s">
        <v>1054</v>
      </c>
      <c r="M40" s="521">
        <v>0</v>
      </c>
      <c r="N40" s="521">
        <v>0.2</v>
      </c>
      <c r="O40" s="522">
        <v>1</v>
      </c>
      <c r="P40" s="522"/>
      <c r="Q40" s="630" t="s">
        <v>330</v>
      </c>
      <c r="R40" s="518" t="s">
        <v>770</v>
      </c>
      <c r="S40" s="517" t="s">
        <v>324</v>
      </c>
      <c r="T40" s="513"/>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04"/>
      <c r="CA40" s="204"/>
      <c r="CB40" s="204"/>
      <c r="CC40" s="204"/>
      <c r="CD40" s="204"/>
      <c r="CE40" s="204"/>
      <c r="CF40" s="204"/>
      <c r="CG40" s="204"/>
      <c r="CH40" s="204"/>
      <c r="CI40" s="204"/>
      <c r="CJ40" s="204"/>
      <c r="CK40" s="204"/>
      <c r="CL40" s="204"/>
      <c r="CM40" s="204"/>
      <c r="CN40" s="204"/>
      <c r="CO40" s="204"/>
      <c r="CP40" s="204"/>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W40" s="204"/>
      <c r="DX40" s="204"/>
      <c r="DY40" s="204"/>
      <c r="DZ40" s="204"/>
      <c r="EA40" s="204"/>
      <c r="EB40" s="204"/>
      <c r="EC40" s="204"/>
      <c r="ED40" s="204"/>
      <c r="EE40" s="204"/>
      <c r="EF40" s="204"/>
      <c r="EG40" s="204"/>
      <c r="EH40" s="204"/>
      <c r="EI40" s="204"/>
      <c r="EJ40" s="204"/>
      <c r="EK40" s="204"/>
      <c r="EL40" s="204"/>
      <c r="EM40" s="204"/>
      <c r="EN40" s="204"/>
      <c r="EO40" s="204"/>
      <c r="EP40" s="204"/>
      <c r="EQ40" s="204"/>
      <c r="ER40" s="204"/>
      <c r="ES40" s="204"/>
      <c r="ET40" s="204"/>
      <c r="EU40" s="204"/>
      <c r="EV40" s="204"/>
      <c r="EW40" s="204"/>
      <c r="EX40" s="204"/>
      <c r="EY40" s="204"/>
      <c r="EZ40" s="204"/>
      <c r="FA40" s="204"/>
      <c r="FB40" s="204"/>
      <c r="FC40" s="204"/>
    </row>
    <row r="41" spans="1:159" s="493" customFormat="1" ht="69" customHeight="1">
      <c r="A41" s="204"/>
      <c r="B41" s="887"/>
      <c r="C41" s="517" t="s">
        <v>874</v>
      </c>
      <c r="D41" s="887"/>
      <c r="E41" s="887"/>
      <c r="F41" s="889"/>
      <c r="G41" s="612">
        <v>3</v>
      </c>
      <c r="H41" s="608" t="s">
        <v>1354</v>
      </c>
      <c r="I41" s="609">
        <v>3</v>
      </c>
      <c r="J41" s="610" t="s">
        <v>1355</v>
      </c>
      <c r="K41" s="612" t="s">
        <v>772</v>
      </c>
      <c r="L41" s="612" t="s">
        <v>1055</v>
      </c>
      <c r="M41" s="609" t="s">
        <v>522</v>
      </c>
      <c r="N41" s="609">
        <v>0</v>
      </c>
      <c r="O41" s="609">
        <v>1</v>
      </c>
      <c r="P41" s="609">
        <v>0</v>
      </c>
      <c r="Q41" s="609">
        <v>1</v>
      </c>
      <c r="R41" s="661" t="s">
        <v>584</v>
      </c>
      <c r="S41" s="661" t="s">
        <v>374</v>
      </c>
      <c r="T41" s="513"/>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W41" s="204"/>
      <c r="DX41" s="204"/>
      <c r="DY41" s="204"/>
      <c r="DZ41" s="204"/>
      <c r="EA41" s="204"/>
      <c r="EB41" s="204"/>
      <c r="EC41" s="204"/>
      <c r="ED41" s="204"/>
      <c r="EE41" s="204"/>
      <c r="EF41" s="204"/>
      <c r="EG41" s="204"/>
      <c r="EH41" s="204"/>
      <c r="EI41" s="204"/>
      <c r="EJ41" s="204"/>
      <c r="EK41" s="204"/>
      <c r="EL41" s="204"/>
      <c r="EM41" s="204"/>
      <c r="EN41" s="204"/>
      <c r="EO41" s="204"/>
      <c r="EP41" s="204"/>
      <c r="EQ41" s="204"/>
      <c r="ER41" s="204"/>
      <c r="ES41" s="204"/>
      <c r="ET41" s="204"/>
      <c r="EU41" s="204"/>
      <c r="EV41" s="204"/>
      <c r="EW41" s="204"/>
      <c r="EX41" s="204"/>
      <c r="EY41" s="204"/>
      <c r="EZ41" s="204"/>
      <c r="FA41" s="204"/>
      <c r="FB41" s="204"/>
      <c r="FC41" s="204"/>
    </row>
    <row r="42" spans="1:159" s="232" customFormat="1" ht="119.25" customHeight="1">
      <c r="A42" s="204"/>
      <c r="B42" s="625" t="s">
        <v>1380</v>
      </c>
      <c r="C42" s="662" t="s">
        <v>875</v>
      </c>
      <c r="D42" s="625" t="s">
        <v>252</v>
      </c>
      <c r="E42" s="625" t="s">
        <v>612</v>
      </c>
      <c r="F42" s="663" t="s">
        <v>567</v>
      </c>
      <c r="G42" s="643">
        <v>1</v>
      </c>
      <c r="H42" s="432" t="s">
        <v>568</v>
      </c>
      <c r="I42" s="664">
        <v>1</v>
      </c>
      <c r="J42" s="665" t="s">
        <v>767</v>
      </c>
      <c r="K42" s="666" t="s">
        <v>526</v>
      </c>
      <c r="L42" s="626" t="s">
        <v>1055</v>
      </c>
      <c r="M42" s="664">
        <v>0.8</v>
      </c>
      <c r="N42" s="664">
        <v>0.9</v>
      </c>
      <c r="O42" s="667">
        <v>1</v>
      </c>
      <c r="P42" s="626" t="s">
        <v>330</v>
      </c>
      <c r="Q42" s="631" t="s">
        <v>330</v>
      </c>
      <c r="R42" s="625" t="s">
        <v>770</v>
      </c>
      <c r="S42" s="625" t="s">
        <v>1225</v>
      </c>
      <c r="T42" s="641"/>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row>
    <row r="43" spans="1:159" s="493" customFormat="1" ht="75.75" customHeight="1">
      <c r="A43" s="204"/>
      <c r="B43" s="886" t="s">
        <v>1381</v>
      </c>
      <c r="C43" s="516" t="s">
        <v>1139</v>
      </c>
      <c r="D43" s="886" t="s">
        <v>252</v>
      </c>
      <c r="E43" s="886" t="s">
        <v>613</v>
      </c>
      <c r="F43" s="888" t="s">
        <v>1062</v>
      </c>
      <c r="G43" s="914">
        <v>1</v>
      </c>
      <c r="H43" s="917" t="s">
        <v>771</v>
      </c>
      <c r="I43" s="505">
        <v>1</v>
      </c>
      <c r="J43" s="525" t="s">
        <v>1308</v>
      </c>
      <c r="K43" s="524" t="s">
        <v>526</v>
      </c>
      <c r="L43" s="602" t="s">
        <v>1054</v>
      </c>
      <c r="M43" s="521">
        <v>0</v>
      </c>
      <c r="N43" s="521">
        <v>0.2</v>
      </c>
      <c r="O43" s="522">
        <v>0.6</v>
      </c>
      <c r="P43" s="522">
        <v>1</v>
      </c>
      <c r="Q43" s="526" t="s">
        <v>330</v>
      </c>
      <c r="R43" s="527" t="s">
        <v>1226</v>
      </c>
      <c r="S43" s="527" t="s">
        <v>584</v>
      </c>
      <c r="T43" s="528"/>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row>
    <row r="44" spans="1:159" s="493" customFormat="1" ht="126.75" customHeight="1">
      <c r="A44" s="204"/>
      <c r="B44" s="904"/>
      <c r="C44" s="516" t="s">
        <v>1139</v>
      </c>
      <c r="D44" s="904"/>
      <c r="E44" s="904"/>
      <c r="F44" s="908"/>
      <c r="G44" s="915"/>
      <c r="H44" s="918"/>
      <c r="I44" s="505">
        <v>0.95</v>
      </c>
      <c r="J44" s="525" t="s">
        <v>1309</v>
      </c>
      <c r="K44" s="529" t="s">
        <v>527</v>
      </c>
      <c r="L44" s="602" t="s">
        <v>1058</v>
      </c>
      <c r="M44" s="521">
        <v>0.8</v>
      </c>
      <c r="N44" s="521">
        <v>0.85</v>
      </c>
      <c r="O44" s="522">
        <v>0.9</v>
      </c>
      <c r="P44" s="522">
        <v>0.95</v>
      </c>
      <c r="Q44" s="526">
        <v>0.95</v>
      </c>
      <c r="R44" s="527" t="s">
        <v>770</v>
      </c>
      <c r="S44" s="527" t="s">
        <v>324</v>
      </c>
      <c r="T44" s="530"/>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row>
    <row r="45" spans="1:159" s="493" customFormat="1" ht="216.75">
      <c r="A45" s="204"/>
      <c r="B45" s="904"/>
      <c r="C45" s="516" t="s">
        <v>1139</v>
      </c>
      <c r="D45" s="904"/>
      <c r="E45" s="904"/>
      <c r="F45" s="908"/>
      <c r="G45" s="915"/>
      <c r="H45" s="918"/>
      <c r="I45" s="531" t="s">
        <v>1020</v>
      </c>
      <c r="J45" s="523" t="s">
        <v>1310</v>
      </c>
      <c r="K45" s="524" t="s">
        <v>527</v>
      </c>
      <c r="L45" s="602" t="s">
        <v>1054</v>
      </c>
      <c r="M45" s="532" t="s">
        <v>174</v>
      </c>
      <c r="N45" s="532" t="s">
        <v>1064</v>
      </c>
      <c r="O45" s="531" t="s">
        <v>1063</v>
      </c>
      <c r="P45" s="531" t="s">
        <v>1020</v>
      </c>
      <c r="Q45" s="531" t="s">
        <v>1020</v>
      </c>
      <c r="R45" s="527" t="s">
        <v>770</v>
      </c>
      <c r="S45" s="527" t="s">
        <v>584</v>
      </c>
      <c r="T45" s="530"/>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c r="DA45" s="204"/>
      <c r="DB45" s="204"/>
      <c r="DC45" s="204"/>
      <c r="DD45" s="204"/>
      <c r="DE45" s="204"/>
      <c r="DF45" s="204"/>
      <c r="DG45" s="204"/>
      <c r="DH45" s="204"/>
      <c r="DI45" s="204"/>
      <c r="DJ45" s="204"/>
      <c r="DK45" s="204"/>
      <c r="DL45" s="204"/>
      <c r="DM45" s="204"/>
      <c r="DN45" s="204"/>
      <c r="DO45" s="204"/>
      <c r="DP45" s="204"/>
      <c r="DQ45" s="204"/>
      <c r="DR45" s="204"/>
      <c r="DS45" s="204"/>
      <c r="DT45" s="204"/>
      <c r="DU45" s="204"/>
      <c r="DV45" s="204"/>
      <c r="DW45" s="204"/>
      <c r="DX45" s="204"/>
      <c r="DY45" s="204"/>
      <c r="DZ45" s="204"/>
      <c r="EA45" s="204"/>
      <c r="EB45" s="204"/>
      <c r="EC45" s="204"/>
      <c r="ED45" s="204"/>
      <c r="EE45" s="204"/>
      <c r="EF45" s="204"/>
      <c r="EG45" s="204"/>
      <c r="EH45" s="204"/>
      <c r="EI45" s="204"/>
      <c r="EJ45" s="204"/>
      <c r="EK45" s="204"/>
      <c r="EL45" s="204"/>
      <c r="EM45" s="204"/>
      <c r="EN45" s="204"/>
      <c r="EO45" s="204"/>
      <c r="EP45" s="204"/>
      <c r="EQ45" s="204"/>
      <c r="ER45" s="204"/>
      <c r="ES45" s="204"/>
      <c r="ET45" s="204"/>
      <c r="EU45" s="204"/>
      <c r="EV45" s="204"/>
      <c r="EW45" s="204"/>
      <c r="EX45" s="204"/>
      <c r="EY45" s="204"/>
      <c r="EZ45" s="204"/>
      <c r="FA45" s="204"/>
      <c r="FB45" s="204"/>
      <c r="FC45" s="204"/>
    </row>
    <row r="46" spans="1:159" s="493" customFormat="1" ht="85.5" customHeight="1">
      <c r="A46" s="204"/>
      <c r="B46" s="904"/>
      <c r="C46" s="516" t="s">
        <v>1139</v>
      </c>
      <c r="D46" s="904"/>
      <c r="E46" s="904"/>
      <c r="F46" s="908"/>
      <c r="G46" s="915"/>
      <c r="H46" s="918"/>
      <c r="I46" s="521">
        <v>1</v>
      </c>
      <c r="J46" s="523" t="s">
        <v>1382</v>
      </c>
      <c r="K46" s="524" t="s">
        <v>527</v>
      </c>
      <c r="L46" s="602" t="s">
        <v>1065</v>
      </c>
      <c r="M46" s="524" t="s">
        <v>834</v>
      </c>
      <c r="N46" s="521">
        <v>1</v>
      </c>
      <c r="O46" s="522">
        <v>1</v>
      </c>
      <c r="P46" s="522">
        <v>1</v>
      </c>
      <c r="Q46" s="526">
        <f>I46</f>
        <v>1</v>
      </c>
      <c r="R46" s="527" t="s">
        <v>770</v>
      </c>
      <c r="S46" s="527" t="s">
        <v>584</v>
      </c>
      <c r="T46" s="530"/>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c r="DA46" s="204"/>
      <c r="DB46" s="204"/>
      <c r="DC46" s="204"/>
      <c r="DD46" s="204"/>
      <c r="DE46" s="204"/>
      <c r="DF46" s="204"/>
      <c r="DG46" s="204"/>
      <c r="DH46" s="204"/>
      <c r="DI46" s="204"/>
      <c r="DJ46" s="204"/>
      <c r="DK46" s="204"/>
      <c r="DL46" s="204"/>
      <c r="DM46" s="204"/>
      <c r="DN46" s="204"/>
      <c r="DO46" s="204"/>
      <c r="DP46" s="204"/>
      <c r="DQ46" s="204"/>
      <c r="DR46" s="204"/>
      <c r="DS46" s="204"/>
      <c r="DT46" s="204"/>
      <c r="DU46" s="204"/>
      <c r="DV46" s="204"/>
      <c r="DW46" s="204"/>
      <c r="DX46" s="204"/>
      <c r="DY46" s="204"/>
      <c r="DZ46" s="204"/>
      <c r="EA46" s="204"/>
      <c r="EB46" s="204"/>
      <c r="EC46" s="204"/>
      <c r="ED46" s="204"/>
      <c r="EE46" s="204"/>
      <c r="EF46" s="204"/>
      <c r="EG46" s="204"/>
      <c r="EH46" s="204"/>
      <c r="EI46" s="204"/>
      <c r="EJ46" s="204"/>
      <c r="EK46" s="204"/>
      <c r="EL46" s="204"/>
      <c r="EM46" s="204"/>
      <c r="EN46" s="204"/>
      <c r="EO46" s="204"/>
      <c r="EP46" s="204"/>
      <c r="EQ46" s="204"/>
      <c r="ER46" s="204"/>
      <c r="ES46" s="204"/>
      <c r="ET46" s="204"/>
      <c r="EU46" s="204"/>
      <c r="EV46" s="204"/>
      <c r="EW46" s="204"/>
      <c r="EX46" s="204"/>
      <c r="EY46" s="204"/>
      <c r="EZ46" s="204"/>
      <c r="FA46" s="204"/>
      <c r="FB46" s="204"/>
      <c r="FC46" s="204"/>
    </row>
    <row r="47" spans="1:159" s="493" customFormat="1" ht="87" customHeight="1">
      <c r="A47" s="204"/>
      <c r="B47" s="904"/>
      <c r="C47" s="516" t="s">
        <v>1139</v>
      </c>
      <c r="D47" s="904"/>
      <c r="E47" s="904"/>
      <c r="F47" s="908"/>
      <c r="G47" s="915"/>
      <c r="H47" s="918"/>
      <c r="I47" s="521">
        <v>0.15</v>
      </c>
      <c r="J47" s="523" t="s">
        <v>1066</v>
      </c>
      <c r="K47" s="524" t="s">
        <v>527</v>
      </c>
      <c r="L47" s="602" t="s">
        <v>1054</v>
      </c>
      <c r="M47" s="521">
        <v>0</v>
      </c>
      <c r="N47" s="521">
        <v>0</v>
      </c>
      <c r="O47" s="522">
        <v>0.1</v>
      </c>
      <c r="P47" s="522">
        <v>0.15</v>
      </c>
      <c r="Q47" s="526">
        <v>0.15</v>
      </c>
      <c r="R47" s="527" t="s">
        <v>770</v>
      </c>
      <c r="S47" s="527" t="s">
        <v>1312</v>
      </c>
      <c r="T47" s="528"/>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row>
    <row r="48" spans="1:159" s="493" customFormat="1" ht="87.75" customHeight="1">
      <c r="A48" s="204"/>
      <c r="B48" s="887"/>
      <c r="C48" s="516" t="s">
        <v>1139</v>
      </c>
      <c r="D48" s="887"/>
      <c r="E48" s="887"/>
      <c r="F48" s="889"/>
      <c r="G48" s="916"/>
      <c r="H48" s="919"/>
      <c r="I48" s="529">
        <v>12</v>
      </c>
      <c r="J48" s="525" t="s">
        <v>1313</v>
      </c>
      <c r="K48" s="529" t="s">
        <v>527</v>
      </c>
      <c r="L48" s="592" t="s">
        <v>1055</v>
      </c>
      <c r="M48" s="529">
        <v>3</v>
      </c>
      <c r="N48" s="529">
        <v>3</v>
      </c>
      <c r="O48" s="668">
        <v>3</v>
      </c>
      <c r="P48" s="668">
        <v>3</v>
      </c>
      <c r="Q48" s="669">
        <v>3</v>
      </c>
      <c r="R48" s="669" t="s">
        <v>1227</v>
      </c>
      <c r="S48" s="669"/>
      <c r="T48" s="528"/>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204"/>
      <c r="DM48" s="204"/>
      <c r="DN48" s="204"/>
      <c r="DO48" s="204"/>
      <c r="DP48" s="204"/>
      <c r="DQ48" s="204"/>
      <c r="DR48" s="204"/>
      <c r="DS48" s="204"/>
      <c r="DT48" s="204"/>
      <c r="DU48" s="204"/>
      <c r="DV48" s="204"/>
      <c r="DW48" s="204"/>
      <c r="DX48" s="204"/>
      <c r="DY48" s="204"/>
      <c r="DZ48" s="204"/>
      <c r="EA48" s="204"/>
      <c r="EB48" s="204"/>
      <c r="EC48" s="204"/>
      <c r="ED48" s="204"/>
      <c r="EE48" s="204"/>
      <c r="EF48" s="204"/>
      <c r="EG48" s="204"/>
      <c r="EH48" s="204"/>
      <c r="EI48" s="204"/>
      <c r="EJ48" s="204"/>
      <c r="EK48" s="204"/>
      <c r="EL48" s="204"/>
      <c r="EM48" s="204"/>
      <c r="EN48" s="204"/>
      <c r="EO48" s="204"/>
      <c r="EP48" s="204"/>
      <c r="EQ48" s="204"/>
      <c r="ER48" s="204"/>
      <c r="ES48" s="204"/>
      <c r="ET48" s="204"/>
      <c r="EU48" s="204"/>
      <c r="EV48" s="204"/>
      <c r="EW48" s="204"/>
      <c r="EX48" s="204"/>
      <c r="EY48" s="204"/>
      <c r="EZ48" s="204"/>
      <c r="FA48" s="204"/>
      <c r="FB48" s="204"/>
      <c r="FC48" s="204"/>
    </row>
    <row r="49" spans="1:159" s="232" customFormat="1" ht="47.25" customHeight="1">
      <c r="A49" s="204"/>
      <c r="B49" s="877" t="s">
        <v>1380</v>
      </c>
      <c r="C49" s="650" t="s">
        <v>1140</v>
      </c>
      <c r="D49" s="877" t="s">
        <v>252</v>
      </c>
      <c r="E49" s="877" t="s">
        <v>614</v>
      </c>
      <c r="F49" s="909" t="s">
        <v>617</v>
      </c>
      <c r="G49" s="911">
        <v>1</v>
      </c>
      <c r="H49" s="913" t="s">
        <v>529</v>
      </c>
      <c r="I49" s="612">
        <v>35</v>
      </c>
      <c r="J49" s="611" t="s">
        <v>1071</v>
      </c>
      <c r="K49" s="612" t="s">
        <v>772</v>
      </c>
      <c r="L49" s="612" t="s">
        <v>1055</v>
      </c>
      <c r="M49" s="612">
        <v>5</v>
      </c>
      <c r="N49" s="612">
        <v>5</v>
      </c>
      <c r="O49" s="612">
        <v>10</v>
      </c>
      <c r="P49" s="612">
        <v>12</v>
      </c>
      <c r="Q49" s="612">
        <v>14</v>
      </c>
      <c r="R49" s="661" t="s">
        <v>1383</v>
      </c>
      <c r="S49" s="661" t="s">
        <v>324</v>
      </c>
      <c r="T49" s="670"/>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204"/>
      <c r="CS49" s="204"/>
      <c r="CT49" s="204"/>
      <c r="CU49" s="204"/>
      <c r="CV49" s="204"/>
      <c r="CW49" s="204"/>
      <c r="CX49" s="204"/>
      <c r="CY49" s="204"/>
      <c r="CZ49" s="204"/>
      <c r="DA49" s="204"/>
      <c r="DB49" s="204"/>
      <c r="DC49" s="204"/>
      <c r="DD49" s="204"/>
      <c r="DE49" s="204"/>
      <c r="DF49" s="204"/>
      <c r="DG49" s="204"/>
      <c r="DH49" s="204"/>
      <c r="DI49" s="204"/>
      <c r="DJ49" s="204"/>
      <c r="DK49" s="204"/>
      <c r="DL49" s="204"/>
      <c r="DM49" s="204"/>
      <c r="DN49" s="204"/>
      <c r="DO49" s="204"/>
      <c r="DP49" s="204"/>
      <c r="DQ49" s="204"/>
      <c r="DR49" s="204"/>
      <c r="DS49" s="204"/>
      <c r="DT49" s="204"/>
      <c r="DU49" s="204"/>
      <c r="DV49" s="204"/>
      <c r="DW49" s="204"/>
      <c r="DX49" s="204"/>
      <c r="DY49" s="204"/>
      <c r="DZ49" s="204"/>
      <c r="EA49" s="204"/>
      <c r="EB49" s="204"/>
      <c r="EC49" s="204"/>
      <c r="ED49" s="204"/>
      <c r="EE49" s="204"/>
      <c r="EF49" s="204"/>
      <c r="EG49" s="204"/>
      <c r="EH49" s="204"/>
      <c r="EI49" s="204"/>
      <c r="EJ49" s="204"/>
      <c r="EK49" s="204"/>
      <c r="EL49" s="204"/>
      <c r="EM49" s="204"/>
      <c r="EN49" s="204"/>
      <c r="EO49" s="204"/>
      <c r="EP49" s="204"/>
      <c r="EQ49" s="204"/>
      <c r="ER49" s="204"/>
      <c r="ES49" s="204"/>
      <c r="ET49" s="204"/>
      <c r="EU49" s="204"/>
      <c r="EV49" s="204"/>
      <c r="EW49" s="204"/>
      <c r="EX49" s="204"/>
      <c r="EY49" s="204"/>
      <c r="EZ49" s="204"/>
      <c r="FA49" s="204"/>
      <c r="FB49" s="204"/>
      <c r="FC49" s="204"/>
    </row>
    <row r="50" spans="1:159" s="232" customFormat="1" ht="87.75" customHeight="1">
      <c r="A50" s="204"/>
      <c r="B50" s="878"/>
      <c r="C50" s="650" t="s">
        <v>1140</v>
      </c>
      <c r="D50" s="878"/>
      <c r="E50" s="878"/>
      <c r="F50" s="910"/>
      <c r="G50" s="912"/>
      <c r="H50" s="913"/>
      <c r="I50" s="671">
        <v>11</v>
      </c>
      <c r="J50" s="432" t="s">
        <v>1314</v>
      </c>
      <c r="K50" s="626" t="s">
        <v>772</v>
      </c>
      <c r="L50" s="626" t="s">
        <v>1055</v>
      </c>
      <c r="M50" s="672">
        <v>2</v>
      </c>
      <c r="N50" s="672">
        <v>2</v>
      </c>
      <c r="O50" s="672">
        <v>3</v>
      </c>
      <c r="P50" s="672">
        <v>3</v>
      </c>
      <c r="Q50" s="671">
        <v>3</v>
      </c>
      <c r="R50" s="672" t="s">
        <v>770</v>
      </c>
      <c r="S50" s="672" t="s">
        <v>1070</v>
      </c>
      <c r="T50" s="673"/>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04"/>
      <c r="BV50" s="204"/>
      <c r="BW50" s="204"/>
      <c r="BX50" s="204"/>
      <c r="BY50" s="204"/>
      <c r="BZ50" s="204"/>
      <c r="CA50" s="204"/>
      <c r="CB50" s="204"/>
      <c r="CC50" s="204"/>
      <c r="CD50" s="204"/>
      <c r="CE50" s="204"/>
      <c r="CF50" s="204"/>
      <c r="CG50" s="204"/>
      <c r="CH50" s="204"/>
      <c r="CI50" s="204"/>
      <c r="CJ50" s="204"/>
      <c r="CK50" s="204"/>
      <c r="CL50" s="204"/>
      <c r="CM50" s="204"/>
      <c r="CN50" s="204"/>
      <c r="CO50" s="204"/>
      <c r="CP50" s="204"/>
      <c r="CQ50" s="204"/>
      <c r="CR50" s="204"/>
      <c r="CS50" s="204"/>
      <c r="CT50" s="204"/>
      <c r="CU50" s="204"/>
      <c r="CV50" s="204"/>
      <c r="CW50" s="204"/>
      <c r="CX50" s="204"/>
      <c r="CY50" s="204"/>
      <c r="CZ50" s="204"/>
      <c r="DA50" s="204"/>
      <c r="DB50" s="204"/>
      <c r="DC50" s="204"/>
      <c r="DD50" s="204"/>
      <c r="DE50" s="204"/>
      <c r="DF50" s="204"/>
      <c r="DG50" s="204"/>
      <c r="DH50" s="204"/>
      <c r="DI50" s="204"/>
      <c r="DJ50" s="204"/>
      <c r="DK50" s="204"/>
      <c r="DL50" s="204"/>
      <c r="DM50" s="204"/>
      <c r="DN50" s="204"/>
      <c r="DO50" s="204"/>
      <c r="DP50" s="204"/>
      <c r="DQ50" s="204"/>
      <c r="DR50" s="204"/>
      <c r="DS50" s="204"/>
      <c r="DT50" s="204"/>
      <c r="DU50" s="204"/>
      <c r="DV50" s="204"/>
      <c r="DW50" s="204"/>
      <c r="DX50" s="204"/>
      <c r="DY50" s="204"/>
      <c r="DZ50" s="204"/>
      <c r="EA50" s="204"/>
      <c r="EB50" s="204"/>
      <c r="EC50" s="204"/>
      <c r="ED50" s="204"/>
      <c r="EE50" s="204"/>
      <c r="EF50" s="204"/>
      <c r="EG50" s="204"/>
      <c r="EH50" s="204"/>
      <c r="EI50" s="204"/>
      <c r="EJ50" s="204"/>
      <c r="EK50" s="204"/>
      <c r="EL50" s="204"/>
      <c r="EM50" s="204"/>
      <c r="EN50" s="204"/>
      <c r="EO50" s="204"/>
      <c r="EP50" s="204"/>
      <c r="EQ50" s="204"/>
      <c r="ER50" s="204"/>
      <c r="ES50" s="204"/>
      <c r="ET50" s="204"/>
      <c r="EU50" s="204"/>
      <c r="EV50" s="204"/>
      <c r="EW50" s="204"/>
      <c r="EX50" s="204"/>
      <c r="EY50" s="204"/>
      <c r="EZ50" s="204"/>
      <c r="FA50" s="204"/>
      <c r="FB50" s="204"/>
      <c r="FC50" s="204"/>
    </row>
    <row r="51" spans="1:159" s="232" customFormat="1" ht="87.75" customHeight="1">
      <c r="A51" s="204"/>
      <c r="B51" s="878"/>
      <c r="C51" s="650" t="s">
        <v>1140</v>
      </c>
      <c r="D51" s="878"/>
      <c r="E51" s="878"/>
      <c r="F51" s="910"/>
      <c r="G51" s="912"/>
      <c r="H51" s="913"/>
      <c r="I51" s="614">
        <v>35</v>
      </c>
      <c r="J51" s="613" t="s">
        <v>1356</v>
      </c>
      <c r="K51" s="674" t="s">
        <v>772</v>
      </c>
      <c r="L51" s="674" t="s">
        <v>1055</v>
      </c>
      <c r="M51" s="614">
        <v>30</v>
      </c>
      <c r="N51" s="614">
        <v>30</v>
      </c>
      <c r="O51" s="614">
        <v>33</v>
      </c>
      <c r="P51" s="614">
        <v>36</v>
      </c>
      <c r="Q51" s="614">
        <v>39</v>
      </c>
      <c r="R51" s="675" t="s">
        <v>948</v>
      </c>
      <c r="S51" s="675" t="s">
        <v>1384</v>
      </c>
      <c r="T51" s="676"/>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4"/>
      <c r="BS51" s="204"/>
      <c r="BT51" s="204"/>
      <c r="BU51" s="204"/>
      <c r="BV51" s="204"/>
      <c r="BW51" s="204"/>
      <c r="BX51" s="204"/>
      <c r="BY51" s="204"/>
      <c r="BZ51" s="204"/>
      <c r="CA51" s="204"/>
      <c r="CB51" s="204"/>
      <c r="CC51" s="204"/>
      <c r="CD51" s="204"/>
      <c r="CE51" s="204"/>
      <c r="CF51" s="204"/>
      <c r="CG51" s="204"/>
      <c r="CH51" s="204"/>
      <c r="CI51" s="204"/>
      <c r="CJ51" s="204"/>
      <c r="CK51" s="204"/>
      <c r="CL51" s="204"/>
      <c r="CM51" s="204"/>
      <c r="CN51" s="204"/>
      <c r="CO51" s="204"/>
      <c r="CP51" s="204"/>
      <c r="CQ51" s="204"/>
      <c r="CR51" s="204"/>
      <c r="CS51" s="204"/>
      <c r="CT51" s="204"/>
      <c r="CU51" s="204"/>
      <c r="CV51" s="204"/>
      <c r="CW51" s="204"/>
      <c r="CX51" s="204"/>
      <c r="CY51" s="204"/>
      <c r="CZ51" s="204"/>
      <c r="DA51" s="204"/>
      <c r="DB51" s="204"/>
      <c r="DC51" s="204"/>
      <c r="DD51" s="204"/>
      <c r="DE51" s="204"/>
      <c r="DF51" s="204"/>
      <c r="DG51" s="204"/>
      <c r="DH51" s="204"/>
      <c r="DI51" s="204"/>
      <c r="DJ51" s="204"/>
      <c r="DK51" s="204"/>
      <c r="DL51" s="204"/>
      <c r="DM51" s="204"/>
      <c r="DN51" s="204"/>
      <c r="DO51" s="204"/>
      <c r="DP51" s="204"/>
      <c r="DQ51" s="204"/>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c r="EY51" s="204"/>
      <c r="EZ51" s="204"/>
      <c r="FA51" s="204"/>
      <c r="FB51" s="204"/>
      <c r="FC51" s="204"/>
    </row>
    <row r="52" spans="1:159" s="232" customFormat="1" ht="51">
      <c r="A52" s="204"/>
      <c r="B52" s="879"/>
      <c r="C52" s="650" t="s">
        <v>1140</v>
      </c>
      <c r="D52" s="879"/>
      <c r="E52" s="879"/>
      <c r="F52" s="910"/>
      <c r="G52" s="912"/>
      <c r="H52" s="913"/>
      <c r="I52" s="616">
        <f>Q52</f>
        <v>808</v>
      </c>
      <c r="J52" s="615" t="s">
        <v>1357</v>
      </c>
      <c r="K52" s="626" t="s">
        <v>772</v>
      </c>
      <c r="L52" s="626" t="s">
        <v>1055</v>
      </c>
      <c r="M52" s="616">
        <f>712</f>
        <v>712</v>
      </c>
      <c r="N52" s="616">
        <v>698</v>
      </c>
      <c r="O52" s="616">
        <v>733</v>
      </c>
      <c r="P52" s="616">
        <v>769</v>
      </c>
      <c r="Q52" s="616">
        <v>808</v>
      </c>
      <c r="R52" s="625" t="s">
        <v>801</v>
      </c>
      <c r="S52" s="625" t="s">
        <v>324</v>
      </c>
      <c r="T52" s="677"/>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c r="BW52" s="204"/>
      <c r="BX52" s="204"/>
      <c r="BY52" s="204"/>
      <c r="BZ52" s="204"/>
      <c r="CA52" s="204"/>
      <c r="CB52" s="204"/>
      <c r="CC52" s="204"/>
      <c r="CD52" s="204"/>
      <c r="CE52" s="204"/>
      <c r="CF52" s="204"/>
      <c r="CG52" s="204"/>
      <c r="CH52" s="204"/>
      <c r="CI52" s="204"/>
      <c r="CJ52" s="204"/>
      <c r="CK52" s="204"/>
      <c r="CL52" s="204"/>
      <c r="CM52" s="204"/>
      <c r="CN52" s="204"/>
      <c r="CO52" s="204"/>
      <c r="CP52" s="204"/>
      <c r="CQ52" s="204"/>
      <c r="CR52" s="204"/>
      <c r="CS52" s="204"/>
      <c r="CT52" s="204"/>
      <c r="CU52" s="204"/>
      <c r="CV52" s="204"/>
      <c r="CW52" s="204"/>
      <c r="CX52" s="204"/>
      <c r="CY52" s="204"/>
      <c r="CZ52" s="204"/>
      <c r="DA52" s="204"/>
      <c r="DB52" s="204"/>
      <c r="DC52" s="204"/>
      <c r="DD52" s="204"/>
      <c r="DE52" s="204"/>
      <c r="DF52" s="204"/>
      <c r="DG52" s="204"/>
      <c r="DH52" s="204"/>
      <c r="DI52" s="204"/>
      <c r="DJ52" s="204"/>
      <c r="DK52" s="204"/>
      <c r="DL52" s="204"/>
      <c r="DM52" s="204"/>
      <c r="DN52" s="204"/>
      <c r="DO52" s="204"/>
      <c r="DP52" s="204"/>
      <c r="DQ52" s="204"/>
      <c r="DR52" s="204"/>
      <c r="DS52" s="204"/>
      <c r="DT52" s="204"/>
      <c r="DU52" s="204"/>
      <c r="DV52" s="204"/>
      <c r="DW52" s="204"/>
      <c r="DX52" s="204"/>
      <c r="DY52" s="204"/>
      <c r="DZ52" s="204"/>
      <c r="EA52" s="204"/>
      <c r="EB52" s="204"/>
      <c r="EC52" s="204"/>
      <c r="ED52" s="204"/>
      <c r="EE52" s="204"/>
      <c r="EF52" s="204"/>
      <c r="EG52" s="204"/>
      <c r="EH52" s="204"/>
      <c r="EI52" s="204"/>
      <c r="EJ52" s="204"/>
      <c r="EK52" s="204"/>
      <c r="EL52" s="204"/>
      <c r="EM52" s="204"/>
      <c r="EN52" s="204"/>
      <c r="EO52" s="204"/>
      <c r="EP52" s="204"/>
      <c r="EQ52" s="204"/>
      <c r="ER52" s="204"/>
      <c r="ES52" s="204"/>
      <c r="ET52" s="204"/>
      <c r="EU52" s="204"/>
      <c r="EV52" s="204"/>
      <c r="EW52" s="204"/>
      <c r="EX52" s="204"/>
      <c r="EY52" s="204"/>
      <c r="EZ52" s="204"/>
      <c r="FA52" s="204"/>
      <c r="FB52" s="204"/>
      <c r="FC52" s="204"/>
    </row>
    <row r="53" spans="1:159" s="204" customFormat="1" ht="138.75" customHeight="1">
      <c r="B53" s="459" t="s">
        <v>754</v>
      </c>
      <c r="C53" s="459" t="s">
        <v>865</v>
      </c>
      <c r="D53" s="459" t="s">
        <v>573</v>
      </c>
      <c r="E53" s="459" t="s">
        <v>620</v>
      </c>
      <c r="F53" s="436" t="s">
        <v>765</v>
      </c>
      <c r="G53" s="678">
        <v>1</v>
      </c>
      <c r="H53" s="679" t="s">
        <v>784</v>
      </c>
      <c r="I53" s="680">
        <v>1</v>
      </c>
      <c r="J53" s="681" t="s">
        <v>753</v>
      </c>
      <c r="K53" s="682" t="s">
        <v>527</v>
      </c>
      <c r="L53" s="344" t="s">
        <v>1054</v>
      </c>
      <c r="M53" s="680" t="s">
        <v>522</v>
      </c>
      <c r="N53" s="680">
        <f>1/12</f>
        <v>8.3333333333333329E-2</v>
      </c>
      <c r="O53" s="680">
        <v>0.42</v>
      </c>
      <c r="P53" s="680">
        <v>0.75</v>
      </c>
      <c r="Q53" s="683">
        <f>I53</f>
        <v>1</v>
      </c>
      <c r="R53" s="678" t="s">
        <v>835</v>
      </c>
      <c r="S53" s="678" t="s">
        <v>1257</v>
      </c>
      <c r="T53" s="684" t="s">
        <v>1045</v>
      </c>
    </row>
    <row r="54" spans="1:159" s="493" customFormat="1" ht="88.5" customHeight="1">
      <c r="A54" s="204"/>
      <c r="B54" s="516" t="s">
        <v>1385</v>
      </c>
      <c r="C54" s="516" t="s">
        <v>879</v>
      </c>
      <c r="D54" s="685" t="s">
        <v>573</v>
      </c>
      <c r="E54" s="686" t="s">
        <v>625</v>
      </c>
      <c r="F54" s="687" t="s">
        <v>775</v>
      </c>
      <c r="G54" s="688">
        <v>1</v>
      </c>
      <c r="H54" s="689" t="s">
        <v>1072</v>
      </c>
      <c r="I54" s="520">
        <f>+Q54</f>
        <v>1</v>
      </c>
      <c r="J54" s="598" t="s">
        <v>777</v>
      </c>
      <c r="K54" s="594" t="s">
        <v>526</v>
      </c>
      <c r="L54" s="594" t="s">
        <v>1054</v>
      </c>
      <c r="M54" s="520" t="s">
        <v>522</v>
      </c>
      <c r="N54" s="690">
        <v>0.25</v>
      </c>
      <c r="O54" s="690">
        <v>0.5</v>
      </c>
      <c r="P54" s="690">
        <v>0.75</v>
      </c>
      <c r="Q54" s="690">
        <v>1</v>
      </c>
      <c r="R54" s="691" t="s">
        <v>778</v>
      </c>
      <c r="S54" s="692" t="s">
        <v>1228</v>
      </c>
      <c r="T54" s="536" t="s">
        <v>1073</v>
      </c>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4"/>
      <c r="EA54" s="204"/>
      <c r="EB54" s="204"/>
      <c r="EC54" s="204"/>
      <c r="ED54" s="204"/>
      <c r="EE54" s="204"/>
      <c r="EF54" s="204"/>
      <c r="EG54" s="204"/>
      <c r="EH54" s="204"/>
      <c r="EI54" s="204"/>
      <c r="EJ54" s="204"/>
      <c r="EK54" s="204"/>
      <c r="EL54" s="204"/>
      <c r="EM54" s="204"/>
      <c r="EN54" s="204"/>
      <c r="EO54" s="204"/>
      <c r="EP54" s="204"/>
      <c r="EQ54" s="204"/>
      <c r="ER54" s="204"/>
      <c r="ES54" s="204"/>
      <c r="ET54" s="204"/>
      <c r="EU54" s="204"/>
      <c r="EV54" s="204"/>
      <c r="EW54" s="204"/>
      <c r="EX54" s="204"/>
      <c r="EY54" s="204"/>
      <c r="EZ54" s="204"/>
      <c r="FA54" s="204"/>
      <c r="FB54" s="204"/>
      <c r="FC54" s="204"/>
    </row>
    <row r="55" spans="1:159" s="204" customFormat="1" ht="127.5" customHeight="1">
      <c r="B55" s="920" t="s">
        <v>1386</v>
      </c>
      <c r="C55" s="459" t="s">
        <v>871</v>
      </c>
      <c r="D55" s="920" t="s">
        <v>573</v>
      </c>
      <c r="E55" s="930" t="s">
        <v>626</v>
      </c>
      <c r="F55" s="933" t="s">
        <v>779</v>
      </c>
      <c r="G55" s="452">
        <v>1</v>
      </c>
      <c r="H55" s="453" t="s">
        <v>618</v>
      </c>
      <c r="I55" s="454">
        <v>1</v>
      </c>
      <c r="J55" s="455" t="s">
        <v>773</v>
      </c>
      <c r="K55" s="456" t="s">
        <v>526</v>
      </c>
      <c r="L55" s="600" t="s">
        <v>1054</v>
      </c>
      <c r="M55" s="457" t="s">
        <v>1046</v>
      </c>
      <c r="N55" s="438">
        <v>0.25</v>
      </c>
      <c r="O55" s="458">
        <v>0.5</v>
      </c>
      <c r="P55" s="458">
        <v>0.75</v>
      </c>
      <c r="Q55" s="438">
        <f>I55</f>
        <v>1</v>
      </c>
      <c r="R55" s="459" t="s">
        <v>1229</v>
      </c>
      <c r="S55" s="459" t="s">
        <v>1230</v>
      </c>
      <c r="T55" s="460" t="s">
        <v>1117</v>
      </c>
    </row>
    <row r="56" spans="1:159" s="204" customFormat="1" ht="183" customHeight="1">
      <c r="B56" s="924"/>
      <c r="C56" s="936" t="s">
        <v>878</v>
      </c>
      <c r="D56" s="924"/>
      <c r="E56" s="931"/>
      <c r="F56" s="934"/>
      <c r="G56" s="937">
        <v>2</v>
      </c>
      <c r="H56" s="928" t="s">
        <v>785</v>
      </c>
      <c r="I56" s="461">
        <v>1</v>
      </c>
      <c r="J56" s="462" t="s">
        <v>816</v>
      </c>
      <c r="K56" s="463" t="s">
        <v>527</v>
      </c>
      <c r="L56" s="344" t="s">
        <v>1058</v>
      </c>
      <c r="M56" s="462" t="s">
        <v>1387</v>
      </c>
      <c r="N56" s="461">
        <v>1</v>
      </c>
      <c r="O56" s="463">
        <v>100</v>
      </c>
      <c r="P56" s="463">
        <v>100</v>
      </c>
      <c r="Q56" s="464">
        <f>I56</f>
        <v>1</v>
      </c>
      <c r="R56" s="465" t="s">
        <v>443</v>
      </c>
      <c r="S56" s="465" t="s">
        <v>1231</v>
      </c>
      <c r="T56" s="450" t="s">
        <v>1047</v>
      </c>
    </row>
    <row r="57" spans="1:159" s="204" customFormat="1" ht="105.75" customHeight="1">
      <c r="B57" s="921"/>
      <c r="C57" s="936"/>
      <c r="D57" s="921"/>
      <c r="E57" s="932"/>
      <c r="F57" s="935"/>
      <c r="G57" s="938"/>
      <c r="H57" s="929"/>
      <c r="I57" s="461">
        <v>1</v>
      </c>
      <c r="J57" s="466" t="s">
        <v>1315</v>
      </c>
      <c r="K57" s="463" t="s">
        <v>526</v>
      </c>
      <c r="L57" s="344" t="s">
        <v>1054</v>
      </c>
      <c r="M57" s="466" t="s">
        <v>1121</v>
      </c>
      <c r="N57" s="461">
        <v>0.98</v>
      </c>
      <c r="O57" s="461">
        <v>0.99</v>
      </c>
      <c r="P57" s="461">
        <v>1</v>
      </c>
      <c r="Q57" s="461">
        <v>1</v>
      </c>
      <c r="R57" s="465" t="s">
        <v>1164</v>
      </c>
      <c r="S57" s="465" t="s">
        <v>1122</v>
      </c>
      <c r="T57" s="467" t="s">
        <v>1316</v>
      </c>
    </row>
    <row r="58" spans="1:159" s="493" customFormat="1" ht="60" customHeight="1">
      <c r="A58" s="204"/>
      <c r="B58" s="886" t="s">
        <v>1388</v>
      </c>
      <c r="C58" s="517" t="s">
        <v>864</v>
      </c>
      <c r="D58" s="886" t="s">
        <v>573</v>
      </c>
      <c r="E58" s="886" t="s">
        <v>627</v>
      </c>
      <c r="F58" s="888" t="s">
        <v>711</v>
      </c>
      <c r="G58" s="602">
        <v>1</v>
      </c>
      <c r="H58" s="409" t="s">
        <v>622</v>
      </c>
      <c r="I58" s="535">
        <v>8</v>
      </c>
      <c r="J58" s="537" t="s">
        <v>1049</v>
      </c>
      <c r="K58" s="535" t="s">
        <v>527</v>
      </c>
      <c r="L58" s="602" t="s">
        <v>1055</v>
      </c>
      <c r="M58" s="535" t="s">
        <v>1048</v>
      </c>
      <c r="N58" s="535">
        <v>2</v>
      </c>
      <c r="O58" s="535">
        <v>2</v>
      </c>
      <c r="P58" s="535">
        <v>2</v>
      </c>
      <c r="Q58" s="535">
        <v>2</v>
      </c>
      <c r="R58" s="517" t="s">
        <v>790</v>
      </c>
      <c r="S58" s="517"/>
      <c r="T58" s="513"/>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4"/>
      <c r="BR58" s="204"/>
      <c r="BS58" s="204"/>
      <c r="BT58" s="204"/>
      <c r="BU58" s="204"/>
      <c r="BV58" s="204"/>
      <c r="BW58" s="204"/>
      <c r="BX58" s="204"/>
      <c r="BY58" s="204"/>
      <c r="BZ58" s="204"/>
      <c r="CA58" s="204"/>
      <c r="CB58" s="204"/>
      <c r="CC58" s="204"/>
      <c r="CD58" s="204"/>
      <c r="CE58" s="204"/>
      <c r="CF58" s="204"/>
      <c r="CG58" s="204"/>
      <c r="CH58" s="204"/>
      <c r="CI58" s="204"/>
      <c r="CJ58" s="204"/>
      <c r="CK58" s="204"/>
      <c r="CL58" s="204"/>
      <c r="CM58" s="204"/>
      <c r="CN58" s="204"/>
      <c r="CO58" s="204"/>
      <c r="CP58" s="204"/>
      <c r="CQ58" s="204"/>
      <c r="CR58" s="204"/>
      <c r="CS58" s="204"/>
      <c r="CT58" s="204"/>
      <c r="CU58" s="204"/>
      <c r="CV58" s="204"/>
      <c r="CW58" s="204"/>
      <c r="CX58" s="204"/>
      <c r="CY58" s="204"/>
      <c r="CZ58" s="204"/>
      <c r="DA58" s="204"/>
      <c r="DB58" s="204"/>
      <c r="DC58" s="204"/>
      <c r="DD58" s="204"/>
      <c r="DE58" s="204"/>
      <c r="DF58" s="204"/>
      <c r="DG58" s="204"/>
      <c r="DH58" s="204"/>
      <c r="DI58" s="204"/>
      <c r="DJ58" s="204"/>
      <c r="DK58" s="204"/>
      <c r="DL58" s="204"/>
      <c r="DM58" s="204"/>
      <c r="DN58" s="204"/>
      <c r="DO58" s="204"/>
      <c r="DP58" s="204"/>
      <c r="DQ58" s="204"/>
      <c r="DR58" s="204"/>
      <c r="DS58" s="204"/>
      <c r="DT58" s="204"/>
      <c r="DU58" s="204"/>
      <c r="DV58" s="204"/>
      <c r="DW58" s="204"/>
      <c r="DX58" s="204"/>
      <c r="DY58" s="204"/>
      <c r="DZ58" s="204"/>
      <c r="EA58" s="204"/>
      <c r="EB58" s="204"/>
      <c r="EC58" s="204"/>
      <c r="ED58" s="204"/>
      <c r="EE58" s="204"/>
      <c r="EF58" s="204"/>
      <c r="EG58" s="204"/>
      <c r="EH58" s="204"/>
      <c r="EI58" s="204"/>
      <c r="EJ58" s="204"/>
      <c r="EK58" s="204"/>
      <c r="EL58" s="204"/>
      <c r="EM58" s="204"/>
      <c r="EN58" s="204"/>
      <c r="EO58" s="204"/>
      <c r="EP58" s="204"/>
      <c r="EQ58" s="204"/>
      <c r="ER58" s="204"/>
      <c r="ES58" s="204"/>
      <c r="ET58" s="204"/>
      <c r="EU58" s="204"/>
      <c r="EV58" s="204"/>
      <c r="EW58" s="204"/>
      <c r="EX58" s="204"/>
      <c r="EY58" s="204"/>
      <c r="EZ58" s="204"/>
      <c r="FA58" s="204"/>
      <c r="FB58" s="204"/>
      <c r="FC58" s="204"/>
    </row>
    <row r="59" spans="1:159" s="493" customFormat="1" ht="63" customHeight="1">
      <c r="A59" s="204"/>
      <c r="B59" s="887"/>
      <c r="C59" s="517" t="s">
        <v>864</v>
      </c>
      <c r="D59" s="887"/>
      <c r="E59" s="887"/>
      <c r="F59" s="889"/>
      <c r="G59" s="602">
        <v>2</v>
      </c>
      <c r="H59" s="409" t="s">
        <v>795</v>
      </c>
      <c r="I59" s="495">
        <v>1</v>
      </c>
      <c r="J59" s="409" t="s">
        <v>843</v>
      </c>
      <c r="K59" s="602" t="s">
        <v>526</v>
      </c>
      <c r="L59" s="602" t="s">
        <v>1054</v>
      </c>
      <c r="M59" s="501">
        <v>0</v>
      </c>
      <c r="N59" s="538">
        <v>0.25</v>
      </c>
      <c r="O59" s="538">
        <v>0.5</v>
      </c>
      <c r="P59" s="538">
        <v>0.75</v>
      </c>
      <c r="Q59" s="538">
        <f>I59</f>
        <v>1</v>
      </c>
      <c r="R59" s="535" t="s">
        <v>790</v>
      </c>
      <c r="S59" s="535" t="s">
        <v>1232</v>
      </c>
      <c r="T59" s="513"/>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c r="CE59" s="204"/>
      <c r="CF59" s="204"/>
      <c r="CG59" s="204"/>
      <c r="CH59" s="204"/>
      <c r="CI59" s="204"/>
      <c r="CJ59" s="204"/>
      <c r="CK59" s="204"/>
      <c r="CL59" s="204"/>
      <c r="CM59" s="204"/>
      <c r="CN59" s="204"/>
      <c r="CO59" s="204"/>
      <c r="CP59" s="204"/>
      <c r="CQ59" s="204"/>
      <c r="CR59" s="204"/>
      <c r="CS59" s="204"/>
      <c r="CT59" s="204"/>
      <c r="CU59" s="204"/>
      <c r="CV59" s="204"/>
      <c r="CW59" s="204"/>
      <c r="CX59" s="204"/>
      <c r="CY59" s="204"/>
      <c r="CZ59" s="204"/>
      <c r="DA59" s="204"/>
      <c r="DB59" s="204"/>
      <c r="DC59" s="204"/>
      <c r="DD59" s="204"/>
      <c r="DE59" s="204"/>
      <c r="DF59" s="204"/>
      <c r="DG59" s="204"/>
      <c r="DH59" s="204"/>
      <c r="DI59" s="204"/>
      <c r="DJ59" s="204"/>
      <c r="DK59" s="204"/>
      <c r="DL59" s="204"/>
      <c r="DM59" s="204"/>
      <c r="DN59" s="204"/>
      <c r="DO59" s="204"/>
      <c r="DP59" s="204"/>
      <c r="DQ59" s="204"/>
      <c r="DR59" s="204"/>
      <c r="DS59" s="204"/>
      <c r="DT59" s="204"/>
      <c r="DU59" s="204"/>
      <c r="DV59" s="204"/>
      <c r="DW59" s="204"/>
      <c r="DX59" s="204"/>
      <c r="DY59" s="204"/>
      <c r="DZ59" s="204"/>
      <c r="EA59" s="204"/>
      <c r="EB59" s="204"/>
      <c r="EC59" s="204"/>
      <c r="ED59" s="204"/>
      <c r="EE59" s="204"/>
      <c r="EF59" s="204"/>
      <c r="EG59" s="204"/>
      <c r="EH59" s="204"/>
      <c r="EI59" s="204"/>
      <c r="EJ59" s="204"/>
      <c r="EK59" s="204"/>
      <c r="EL59" s="204"/>
      <c r="EM59" s="204"/>
      <c r="EN59" s="204"/>
      <c r="EO59" s="204"/>
      <c r="EP59" s="204"/>
      <c r="EQ59" s="204"/>
      <c r="ER59" s="204"/>
      <c r="ES59" s="204"/>
      <c r="ET59" s="204"/>
      <c r="EU59" s="204"/>
      <c r="EV59" s="204"/>
      <c r="EW59" s="204"/>
      <c r="EX59" s="204"/>
      <c r="EY59" s="204"/>
      <c r="EZ59" s="204"/>
      <c r="FA59" s="204"/>
      <c r="FB59" s="204"/>
      <c r="FC59" s="204"/>
    </row>
    <row r="60" spans="1:159" s="204" customFormat="1" ht="93" customHeight="1">
      <c r="B60" s="459" t="s">
        <v>755</v>
      </c>
      <c r="C60" s="693" t="s">
        <v>888</v>
      </c>
      <c r="D60" s="459" t="s">
        <v>573</v>
      </c>
      <c r="E60" s="459" t="s">
        <v>628</v>
      </c>
      <c r="F60" s="436" t="s">
        <v>623</v>
      </c>
      <c r="G60" s="344">
        <v>1</v>
      </c>
      <c r="H60" s="345" t="s">
        <v>781</v>
      </c>
      <c r="I60" s="471">
        <v>1</v>
      </c>
      <c r="J60" s="439" t="s">
        <v>1074</v>
      </c>
      <c r="K60" s="451" t="s">
        <v>527</v>
      </c>
      <c r="L60" s="344" t="s">
        <v>1054</v>
      </c>
      <c r="M60" s="451" t="s">
        <v>1050</v>
      </c>
      <c r="N60" s="469">
        <v>0.25</v>
      </c>
      <c r="O60" s="469">
        <v>0.5</v>
      </c>
      <c r="P60" s="469">
        <v>0.75</v>
      </c>
      <c r="Q60" s="469">
        <v>1</v>
      </c>
      <c r="R60" s="459" t="s">
        <v>790</v>
      </c>
      <c r="S60" s="459" t="s">
        <v>1003</v>
      </c>
      <c r="T60" s="460"/>
    </row>
    <row r="61" spans="1:159" s="493" customFormat="1" ht="86.25" customHeight="1">
      <c r="A61" s="204"/>
      <c r="B61" s="886" t="s">
        <v>1389</v>
      </c>
      <c r="C61" s="516" t="s">
        <v>871</v>
      </c>
      <c r="D61" s="886" t="s">
        <v>573</v>
      </c>
      <c r="E61" s="886" t="s">
        <v>629</v>
      </c>
      <c r="F61" s="888" t="s">
        <v>631</v>
      </c>
      <c r="G61" s="914">
        <v>1</v>
      </c>
      <c r="H61" s="917" t="s">
        <v>806</v>
      </c>
      <c r="I61" s="522">
        <v>1</v>
      </c>
      <c r="J61" s="539" t="s">
        <v>782</v>
      </c>
      <c r="K61" s="534" t="s">
        <v>526</v>
      </c>
      <c r="L61" s="602" t="s">
        <v>1054</v>
      </c>
      <c r="M61" s="539" t="s">
        <v>530</v>
      </c>
      <c r="N61" s="540">
        <v>0.25</v>
      </c>
      <c r="O61" s="540">
        <v>0.5</v>
      </c>
      <c r="P61" s="540">
        <v>0.75</v>
      </c>
      <c r="Q61" s="541">
        <v>1</v>
      </c>
      <c r="R61" s="527" t="s">
        <v>790</v>
      </c>
      <c r="S61" s="920"/>
      <c r="T61" s="922"/>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4"/>
      <c r="BX61" s="204"/>
      <c r="BY61" s="204"/>
      <c r="BZ61" s="204"/>
      <c r="CA61" s="204"/>
      <c r="CB61" s="204"/>
      <c r="CC61" s="204"/>
      <c r="CD61" s="204"/>
      <c r="CE61" s="204"/>
      <c r="CF61" s="204"/>
      <c r="CG61" s="204"/>
      <c r="CH61" s="204"/>
      <c r="CI61" s="204"/>
      <c r="CJ61" s="204"/>
      <c r="CK61" s="204"/>
      <c r="CL61" s="204"/>
      <c r="CM61" s="204"/>
      <c r="CN61" s="204"/>
      <c r="CO61" s="204"/>
      <c r="CP61" s="20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4"/>
      <c r="ER61" s="204"/>
      <c r="ES61" s="204"/>
      <c r="ET61" s="204"/>
      <c r="EU61" s="204"/>
      <c r="EV61" s="204"/>
      <c r="EW61" s="204"/>
      <c r="EX61" s="204"/>
      <c r="EY61" s="204"/>
      <c r="EZ61" s="204"/>
      <c r="FA61" s="204"/>
      <c r="FB61" s="204"/>
      <c r="FC61" s="204"/>
    </row>
    <row r="62" spans="1:159" s="493" customFormat="1" ht="53.25" customHeight="1">
      <c r="A62" s="204"/>
      <c r="B62" s="904"/>
      <c r="C62" s="516" t="s">
        <v>871</v>
      </c>
      <c r="D62" s="904"/>
      <c r="E62" s="904"/>
      <c r="F62" s="908"/>
      <c r="G62" s="916"/>
      <c r="H62" s="919"/>
      <c r="I62" s="522">
        <v>0.9</v>
      </c>
      <c r="J62" s="539" t="s">
        <v>783</v>
      </c>
      <c r="K62" s="534" t="s">
        <v>527</v>
      </c>
      <c r="L62" s="602" t="s">
        <v>1058</v>
      </c>
      <c r="M62" s="542">
        <v>0.85</v>
      </c>
      <c r="N62" s="522">
        <v>0.9</v>
      </c>
      <c r="O62" s="522">
        <v>0.9</v>
      </c>
      <c r="P62" s="522">
        <v>0.9</v>
      </c>
      <c r="Q62" s="526">
        <f>I62</f>
        <v>0.9</v>
      </c>
      <c r="R62" s="527" t="s">
        <v>790</v>
      </c>
      <c r="S62" s="921"/>
      <c r="T62" s="923"/>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4"/>
      <c r="BX62" s="204"/>
      <c r="BY62" s="204"/>
      <c r="BZ62" s="204"/>
      <c r="CA62" s="204"/>
      <c r="CB62" s="204"/>
      <c r="CC62" s="204"/>
      <c r="CD62" s="204"/>
      <c r="CE62" s="204"/>
      <c r="CF62" s="204"/>
      <c r="CG62" s="204"/>
      <c r="CH62" s="204"/>
      <c r="CI62" s="204"/>
      <c r="CJ62" s="204"/>
      <c r="CK62" s="204"/>
      <c r="CL62" s="204"/>
      <c r="CM62" s="204"/>
      <c r="CN62" s="204"/>
      <c r="CO62" s="204"/>
      <c r="CP62" s="20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F62" s="204"/>
      <c r="EG62" s="204"/>
      <c r="EH62" s="204"/>
      <c r="EI62" s="204"/>
      <c r="EJ62" s="204"/>
      <c r="EK62" s="204"/>
      <c r="EL62" s="204"/>
      <c r="EM62" s="204"/>
      <c r="EN62" s="204"/>
      <c r="EO62" s="204"/>
      <c r="EP62" s="204"/>
      <c r="EQ62" s="204"/>
      <c r="ER62" s="204"/>
      <c r="ES62" s="204"/>
      <c r="ET62" s="204"/>
      <c r="EU62" s="204"/>
      <c r="EV62" s="204"/>
      <c r="EW62" s="204"/>
      <c r="EX62" s="204"/>
      <c r="EY62" s="204"/>
      <c r="EZ62" s="204"/>
      <c r="FA62" s="204"/>
      <c r="FB62" s="204"/>
      <c r="FC62" s="204"/>
    </row>
    <row r="63" spans="1:159" s="493" customFormat="1" ht="96.75" customHeight="1">
      <c r="A63" s="204"/>
      <c r="B63" s="887"/>
      <c r="C63" s="517" t="s">
        <v>1138</v>
      </c>
      <c r="D63" s="887"/>
      <c r="E63" s="887"/>
      <c r="F63" s="889"/>
      <c r="G63" s="694">
        <v>2</v>
      </c>
      <c r="H63" s="543" t="s">
        <v>1038</v>
      </c>
      <c r="I63" s="630">
        <v>1</v>
      </c>
      <c r="J63" s="695" t="s">
        <v>807</v>
      </c>
      <c r="K63" s="630" t="s">
        <v>526</v>
      </c>
      <c r="L63" s="602" t="s">
        <v>1054</v>
      </c>
      <c r="M63" s="630" t="s">
        <v>522</v>
      </c>
      <c r="N63" s="630">
        <v>0.1</v>
      </c>
      <c r="O63" s="495">
        <v>0.5</v>
      </c>
      <c r="P63" s="495">
        <v>0.7</v>
      </c>
      <c r="Q63" s="630">
        <f>I63</f>
        <v>1</v>
      </c>
      <c r="R63" s="517" t="s">
        <v>790</v>
      </c>
      <c r="S63" s="517" t="s">
        <v>1233</v>
      </c>
      <c r="T63" s="502"/>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F63" s="204"/>
      <c r="EG63" s="204"/>
      <c r="EH63" s="204"/>
      <c r="EI63" s="204"/>
      <c r="EJ63" s="204"/>
      <c r="EK63" s="204"/>
      <c r="EL63" s="204"/>
      <c r="EM63" s="204"/>
      <c r="EN63" s="204"/>
      <c r="EO63" s="204"/>
      <c r="EP63" s="204"/>
      <c r="EQ63" s="204"/>
      <c r="ER63" s="204"/>
      <c r="ES63" s="204"/>
      <c r="ET63" s="204"/>
      <c r="EU63" s="204"/>
      <c r="EV63" s="204"/>
      <c r="EW63" s="204"/>
      <c r="EX63" s="204"/>
      <c r="EY63" s="204"/>
      <c r="EZ63" s="204"/>
      <c r="FA63" s="204"/>
      <c r="FB63" s="204"/>
      <c r="FC63" s="204"/>
    </row>
    <row r="64" spans="1:159" s="204" customFormat="1" ht="63" customHeight="1">
      <c r="B64" s="920" t="s">
        <v>755</v>
      </c>
      <c r="C64" s="459" t="s">
        <v>865</v>
      </c>
      <c r="D64" s="920" t="s">
        <v>573</v>
      </c>
      <c r="E64" s="920" t="s">
        <v>630</v>
      </c>
      <c r="F64" s="925" t="s">
        <v>1390</v>
      </c>
      <c r="G64" s="599">
        <v>1</v>
      </c>
      <c r="H64" s="440" t="s">
        <v>1075</v>
      </c>
      <c r="I64" s="472">
        <v>1</v>
      </c>
      <c r="J64" s="345" t="s">
        <v>811</v>
      </c>
      <c r="K64" s="344" t="s">
        <v>526</v>
      </c>
      <c r="L64" s="344" t="s">
        <v>1054</v>
      </c>
      <c r="M64" s="344" t="s">
        <v>990</v>
      </c>
      <c r="N64" s="468">
        <v>0.5</v>
      </c>
      <c r="O64" s="442">
        <v>1</v>
      </c>
      <c r="P64" s="344" t="s">
        <v>330</v>
      </c>
      <c r="Q64" s="696" t="s">
        <v>330</v>
      </c>
      <c r="R64" s="459" t="s">
        <v>1234</v>
      </c>
      <c r="S64" s="697" t="s">
        <v>352</v>
      </c>
      <c r="T64" s="601"/>
    </row>
    <row r="65" spans="1:159" s="204" customFormat="1" ht="69.75" customHeight="1">
      <c r="B65" s="924"/>
      <c r="C65" s="459" t="s">
        <v>865</v>
      </c>
      <c r="D65" s="924"/>
      <c r="E65" s="924"/>
      <c r="F65" s="926"/>
      <c r="G65" s="599">
        <v>2</v>
      </c>
      <c r="H65" s="595" t="s">
        <v>1236</v>
      </c>
      <c r="I65" s="618">
        <v>0.5</v>
      </c>
      <c r="J65" s="345" t="s">
        <v>812</v>
      </c>
      <c r="K65" s="344" t="s">
        <v>526</v>
      </c>
      <c r="L65" s="344" t="s">
        <v>1054</v>
      </c>
      <c r="M65" s="344" t="s">
        <v>522</v>
      </c>
      <c r="N65" s="468" t="s">
        <v>330</v>
      </c>
      <c r="O65" s="344" t="s">
        <v>330</v>
      </c>
      <c r="P65" s="442">
        <v>0.25</v>
      </c>
      <c r="Q65" s="696">
        <f>I65</f>
        <v>0.5</v>
      </c>
      <c r="R65" s="459" t="s">
        <v>1234</v>
      </c>
      <c r="S65" s="697" t="s">
        <v>352</v>
      </c>
      <c r="T65" s="601"/>
    </row>
    <row r="66" spans="1:159" s="204" customFormat="1" ht="63" customHeight="1">
      <c r="B66" s="924"/>
      <c r="C66" s="459" t="s">
        <v>865</v>
      </c>
      <c r="D66" s="924"/>
      <c r="E66" s="924"/>
      <c r="F66" s="926"/>
      <c r="G66" s="599">
        <v>3</v>
      </c>
      <c r="H66" s="440" t="s">
        <v>1076</v>
      </c>
      <c r="I66" s="442">
        <v>1</v>
      </c>
      <c r="J66" s="345" t="s">
        <v>811</v>
      </c>
      <c r="K66" s="344" t="s">
        <v>526</v>
      </c>
      <c r="L66" s="344" t="s">
        <v>1054</v>
      </c>
      <c r="M66" s="344" t="s">
        <v>522</v>
      </c>
      <c r="N66" s="468">
        <v>0.5</v>
      </c>
      <c r="O66" s="442">
        <v>1</v>
      </c>
      <c r="P66" s="344" t="s">
        <v>330</v>
      </c>
      <c r="Q66" s="696" t="s">
        <v>330</v>
      </c>
      <c r="R66" s="459" t="s">
        <v>1234</v>
      </c>
      <c r="S66" s="697" t="s">
        <v>352</v>
      </c>
      <c r="T66" s="601"/>
    </row>
    <row r="67" spans="1:159" s="204" customFormat="1" ht="65.25" customHeight="1">
      <c r="B67" s="924"/>
      <c r="C67" s="459" t="s">
        <v>865</v>
      </c>
      <c r="D67" s="924"/>
      <c r="E67" s="924"/>
      <c r="F67" s="926"/>
      <c r="G67" s="599">
        <v>4</v>
      </c>
      <c r="H67" s="595" t="s">
        <v>1237</v>
      </c>
      <c r="I67" s="618">
        <v>0.5</v>
      </c>
      <c r="J67" s="345" t="s">
        <v>1039</v>
      </c>
      <c r="K67" s="344" t="s">
        <v>526</v>
      </c>
      <c r="L67" s="344" t="s">
        <v>1054</v>
      </c>
      <c r="M67" s="344" t="s">
        <v>330</v>
      </c>
      <c r="N67" s="468" t="s">
        <v>330</v>
      </c>
      <c r="O67" s="344" t="s">
        <v>330</v>
      </c>
      <c r="P67" s="442">
        <v>0.25</v>
      </c>
      <c r="Q67" s="696">
        <v>0.5</v>
      </c>
      <c r="R67" s="459" t="s">
        <v>1234</v>
      </c>
      <c r="S67" s="459" t="s">
        <v>352</v>
      </c>
      <c r="T67" s="601"/>
    </row>
    <row r="68" spans="1:159" s="204" customFormat="1" ht="59.25" customHeight="1">
      <c r="B68" s="698"/>
      <c r="C68" s="459" t="s">
        <v>865</v>
      </c>
      <c r="D68" s="921"/>
      <c r="E68" s="921"/>
      <c r="F68" s="927"/>
      <c r="G68" s="599">
        <v>5</v>
      </c>
      <c r="H68" s="595" t="s">
        <v>1235</v>
      </c>
      <c r="I68" s="472">
        <v>1</v>
      </c>
      <c r="J68" s="345" t="s">
        <v>1110</v>
      </c>
      <c r="K68" s="344" t="s">
        <v>526</v>
      </c>
      <c r="L68" s="344" t="s">
        <v>1054</v>
      </c>
      <c r="M68" s="344" t="s">
        <v>522</v>
      </c>
      <c r="N68" s="468">
        <v>0.1</v>
      </c>
      <c r="O68" s="442">
        <v>0.4</v>
      </c>
      <c r="P68" s="442">
        <v>0.7</v>
      </c>
      <c r="Q68" s="472">
        <v>1</v>
      </c>
      <c r="R68" s="459" t="s">
        <v>1238</v>
      </c>
      <c r="S68" s="699"/>
      <c r="T68" s="473"/>
    </row>
    <row r="69" spans="1:159" s="493" customFormat="1" ht="87.75" customHeight="1">
      <c r="A69" s="204"/>
      <c r="B69" s="886" t="s">
        <v>1391</v>
      </c>
      <c r="C69" s="517" t="s">
        <v>865</v>
      </c>
      <c r="D69" s="886" t="s">
        <v>573</v>
      </c>
      <c r="E69" s="886" t="s">
        <v>632</v>
      </c>
      <c r="F69" s="888" t="s">
        <v>1392</v>
      </c>
      <c r="G69" s="592">
        <v>1</v>
      </c>
      <c r="H69" s="597" t="s">
        <v>1317</v>
      </c>
      <c r="I69" s="592">
        <v>3</v>
      </c>
      <c r="J69" s="409" t="s">
        <v>1161</v>
      </c>
      <c r="K69" s="602" t="s">
        <v>526</v>
      </c>
      <c r="L69" s="602" t="s">
        <v>1055</v>
      </c>
      <c r="M69" s="409" t="s">
        <v>1107</v>
      </c>
      <c r="N69" s="602">
        <v>1</v>
      </c>
      <c r="O69" s="602">
        <v>1</v>
      </c>
      <c r="P69" s="602">
        <v>1</v>
      </c>
      <c r="Q69" s="516" t="s">
        <v>330</v>
      </c>
      <c r="R69" s="517" t="s">
        <v>790</v>
      </c>
      <c r="S69" s="516" t="s">
        <v>824</v>
      </c>
      <c r="T69" s="502"/>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4"/>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04"/>
      <c r="EN69" s="204"/>
      <c r="EO69" s="204"/>
      <c r="EP69" s="204"/>
      <c r="EQ69" s="204"/>
      <c r="ER69" s="204"/>
      <c r="ES69" s="204"/>
      <c r="ET69" s="204"/>
      <c r="EU69" s="204"/>
      <c r="EV69" s="204"/>
      <c r="EW69" s="204"/>
      <c r="EX69" s="204"/>
      <c r="EY69" s="204"/>
      <c r="EZ69" s="204"/>
      <c r="FA69" s="204"/>
      <c r="FB69" s="204"/>
      <c r="FC69" s="204"/>
    </row>
    <row r="70" spans="1:159" s="493" customFormat="1" ht="66.75" customHeight="1">
      <c r="A70" s="204"/>
      <c r="B70" s="904"/>
      <c r="C70" s="886" t="s">
        <v>865</v>
      </c>
      <c r="D70" s="904"/>
      <c r="E70" s="904"/>
      <c r="F70" s="908"/>
      <c r="G70" s="914">
        <v>2</v>
      </c>
      <c r="H70" s="939" t="s">
        <v>820</v>
      </c>
      <c r="I70" s="592">
        <v>2</v>
      </c>
      <c r="J70" s="409" t="s">
        <v>1040</v>
      </c>
      <c r="K70" s="602" t="s">
        <v>526</v>
      </c>
      <c r="L70" s="602" t="s">
        <v>1054</v>
      </c>
      <c r="M70" s="602" t="s">
        <v>522</v>
      </c>
      <c r="N70" s="602" t="s">
        <v>330</v>
      </c>
      <c r="O70" s="602">
        <v>1</v>
      </c>
      <c r="P70" s="602">
        <v>1</v>
      </c>
      <c r="Q70" s="700" t="s">
        <v>330</v>
      </c>
      <c r="R70" s="517" t="s">
        <v>790</v>
      </c>
      <c r="S70" s="516" t="s">
        <v>823</v>
      </c>
      <c r="T70" s="502"/>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4"/>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04"/>
      <c r="DS70" s="204"/>
      <c r="DT70" s="204"/>
      <c r="DU70" s="204"/>
      <c r="DV70" s="204"/>
      <c r="DW70" s="204"/>
      <c r="DX70" s="204"/>
      <c r="DY70" s="204"/>
      <c r="DZ70" s="204"/>
      <c r="EA70" s="204"/>
      <c r="EB70" s="204"/>
      <c r="EC70" s="204"/>
      <c r="ED70" s="204"/>
      <c r="EE70" s="204"/>
      <c r="EF70" s="204"/>
      <c r="EG70" s="204"/>
      <c r="EH70" s="204"/>
      <c r="EI70" s="204"/>
      <c r="EJ70" s="204"/>
      <c r="EK70" s="204"/>
      <c r="EL70" s="204"/>
      <c r="EM70" s="204"/>
      <c r="EN70" s="204"/>
      <c r="EO70" s="204"/>
      <c r="EP70" s="204"/>
      <c r="EQ70" s="204"/>
      <c r="ER70" s="204"/>
      <c r="ES70" s="204"/>
      <c r="ET70" s="204"/>
      <c r="EU70" s="204"/>
      <c r="EV70" s="204"/>
      <c r="EW70" s="204"/>
      <c r="EX70" s="204"/>
      <c r="EY70" s="204"/>
      <c r="EZ70" s="204"/>
      <c r="FA70" s="204"/>
      <c r="FB70" s="204"/>
      <c r="FC70" s="204"/>
    </row>
    <row r="71" spans="1:159" s="493" customFormat="1" ht="47.25" customHeight="1">
      <c r="A71" s="204"/>
      <c r="B71" s="887"/>
      <c r="C71" s="887"/>
      <c r="D71" s="887"/>
      <c r="E71" s="887"/>
      <c r="F71" s="889"/>
      <c r="G71" s="916"/>
      <c r="H71" s="940"/>
      <c r="I71" s="545">
        <v>0.05</v>
      </c>
      <c r="J71" s="409" t="s">
        <v>1239</v>
      </c>
      <c r="K71" s="602" t="s">
        <v>1094</v>
      </c>
      <c r="L71" s="602"/>
      <c r="M71" s="602" t="s">
        <v>522</v>
      </c>
      <c r="N71" s="409"/>
      <c r="O71" s="409"/>
      <c r="P71" s="495">
        <v>0.02</v>
      </c>
      <c r="Q71" s="700">
        <f>I71</f>
        <v>0.05</v>
      </c>
      <c r="R71" s="517" t="s">
        <v>790</v>
      </c>
      <c r="S71" s="516" t="s">
        <v>823</v>
      </c>
      <c r="T71" s="502"/>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c r="EO71" s="204"/>
      <c r="EP71" s="204"/>
      <c r="EQ71" s="204"/>
      <c r="ER71" s="204"/>
      <c r="ES71" s="204"/>
      <c r="ET71" s="204"/>
      <c r="EU71" s="204"/>
      <c r="EV71" s="204"/>
      <c r="EW71" s="204"/>
      <c r="EX71" s="204"/>
      <c r="EY71" s="204"/>
      <c r="EZ71" s="204"/>
      <c r="FA71" s="204"/>
      <c r="FB71" s="204"/>
      <c r="FC71" s="204"/>
    </row>
    <row r="72" spans="1:159" s="311" customFormat="1" ht="48" customHeight="1">
      <c r="B72" s="920" t="s">
        <v>846</v>
      </c>
      <c r="C72" s="920" t="s">
        <v>869</v>
      </c>
      <c r="D72" s="920" t="s">
        <v>633</v>
      </c>
      <c r="E72" s="920" t="s">
        <v>634</v>
      </c>
      <c r="F72" s="925" t="s">
        <v>998</v>
      </c>
      <c r="G72" s="937">
        <v>1</v>
      </c>
      <c r="H72" s="942" t="s">
        <v>993</v>
      </c>
      <c r="I72" s="474">
        <f>SUM(N72:Q72)</f>
        <v>3000</v>
      </c>
      <c r="J72" s="345" t="s">
        <v>1162</v>
      </c>
      <c r="K72" s="344" t="s">
        <v>772</v>
      </c>
      <c r="L72" s="344" t="s">
        <v>1055</v>
      </c>
      <c r="M72" s="475">
        <v>200</v>
      </c>
      <c r="N72" s="476">
        <v>300</v>
      </c>
      <c r="O72" s="477">
        <v>900</v>
      </c>
      <c r="P72" s="477">
        <v>900</v>
      </c>
      <c r="Q72" s="701">
        <v>900</v>
      </c>
      <c r="R72" s="702" t="s">
        <v>786</v>
      </c>
      <c r="S72" s="945"/>
      <c r="T72" s="460"/>
    </row>
    <row r="73" spans="1:159" s="311" customFormat="1" ht="48" customHeight="1">
      <c r="B73" s="924"/>
      <c r="C73" s="924"/>
      <c r="D73" s="924"/>
      <c r="E73" s="924"/>
      <c r="F73" s="926"/>
      <c r="G73" s="941"/>
      <c r="H73" s="943"/>
      <c r="I73" s="474">
        <f>SUM(N73:Q73)</f>
        <v>2005</v>
      </c>
      <c r="J73" s="345" t="s">
        <v>994</v>
      </c>
      <c r="K73" s="344" t="s">
        <v>772</v>
      </c>
      <c r="L73" s="344" t="s">
        <v>1055</v>
      </c>
      <c r="M73" s="475">
        <v>900</v>
      </c>
      <c r="N73" s="478">
        <v>260</v>
      </c>
      <c r="O73" s="478">
        <v>560</v>
      </c>
      <c r="P73" s="478">
        <v>550</v>
      </c>
      <c r="Q73" s="478">
        <v>635</v>
      </c>
      <c r="R73" s="702" t="s">
        <v>786</v>
      </c>
      <c r="S73" s="946"/>
      <c r="T73" s="460"/>
    </row>
    <row r="74" spans="1:159" s="311" customFormat="1" ht="48" customHeight="1">
      <c r="B74" s="924"/>
      <c r="C74" s="924"/>
      <c r="D74" s="924"/>
      <c r="E74" s="924"/>
      <c r="F74" s="926"/>
      <c r="G74" s="941"/>
      <c r="H74" s="943"/>
      <c r="I74" s="479">
        <v>186</v>
      </c>
      <c r="J74" s="345" t="s">
        <v>995</v>
      </c>
      <c r="K74" s="344" t="s">
        <v>772</v>
      </c>
      <c r="L74" s="344" t="s">
        <v>1055</v>
      </c>
      <c r="M74" s="475">
        <v>0</v>
      </c>
      <c r="N74" s="476">
        <v>30</v>
      </c>
      <c r="O74" s="477">
        <v>50</v>
      </c>
      <c r="P74" s="477">
        <v>50</v>
      </c>
      <c r="Q74" s="701">
        <v>56</v>
      </c>
      <c r="R74" s="702" t="s">
        <v>786</v>
      </c>
      <c r="S74" s="946"/>
      <c r="T74" s="460"/>
    </row>
    <row r="75" spans="1:159" s="311" customFormat="1" ht="48" customHeight="1">
      <c r="B75" s="921"/>
      <c r="C75" s="921"/>
      <c r="D75" s="921"/>
      <c r="E75" s="921"/>
      <c r="F75" s="927"/>
      <c r="G75" s="938"/>
      <c r="H75" s="944"/>
      <c r="I75" s="474">
        <f>SUM(N75:Q75)</f>
        <v>65</v>
      </c>
      <c r="J75" s="345" t="s">
        <v>996</v>
      </c>
      <c r="K75" s="344" t="s">
        <v>526</v>
      </c>
      <c r="L75" s="344" t="s">
        <v>1055</v>
      </c>
      <c r="M75" s="475">
        <v>35</v>
      </c>
      <c r="N75" s="476">
        <v>10</v>
      </c>
      <c r="O75" s="477">
        <v>15</v>
      </c>
      <c r="P75" s="477">
        <v>15</v>
      </c>
      <c r="Q75" s="703">
        <v>25</v>
      </c>
      <c r="R75" s="702" t="s">
        <v>786</v>
      </c>
      <c r="S75" s="947"/>
      <c r="T75" s="460"/>
    </row>
    <row r="76" spans="1:159" s="493" customFormat="1" ht="69" customHeight="1">
      <c r="A76" s="204"/>
      <c r="B76" s="517" t="s">
        <v>846</v>
      </c>
      <c r="C76" s="517" t="s">
        <v>865</v>
      </c>
      <c r="D76" s="517" t="s">
        <v>633</v>
      </c>
      <c r="E76" s="517" t="s">
        <v>635</v>
      </c>
      <c r="F76" s="519" t="s">
        <v>637</v>
      </c>
      <c r="G76" s="602">
        <v>1</v>
      </c>
      <c r="H76" s="409" t="s">
        <v>1042</v>
      </c>
      <c r="I76" s="495">
        <v>1</v>
      </c>
      <c r="J76" s="409" t="s">
        <v>787</v>
      </c>
      <c r="K76" s="602" t="s">
        <v>526</v>
      </c>
      <c r="L76" s="602"/>
      <c r="M76" s="546" t="s">
        <v>1041</v>
      </c>
      <c r="N76" s="501">
        <v>0.15</v>
      </c>
      <c r="O76" s="495">
        <v>0.5</v>
      </c>
      <c r="P76" s="495">
        <v>0.75</v>
      </c>
      <c r="Q76" s="700">
        <f t="shared" ref="Q76:Q82" si="0">I76</f>
        <v>1</v>
      </c>
      <c r="R76" s="517" t="s">
        <v>324</v>
      </c>
      <c r="S76" s="517" t="s">
        <v>1240</v>
      </c>
      <c r="T76" s="503" t="s">
        <v>1079</v>
      </c>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204"/>
      <c r="CR76" s="204"/>
      <c r="CS76" s="204"/>
      <c r="CT76" s="204"/>
      <c r="CU76" s="204"/>
      <c r="CV76" s="204"/>
      <c r="CW76" s="204"/>
      <c r="CX76" s="204"/>
      <c r="CY76" s="204"/>
      <c r="CZ76" s="204"/>
      <c r="DA76" s="204"/>
      <c r="DB76" s="204"/>
      <c r="DC76" s="204"/>
      <c r="DD76" s="204"/>
      <c r="DE76" s="204"/>
      <c r="DF76" s="204"/>
      <c r="DG76" s="204"/>
      <c r="DH76" s="204"/>
      <c r="DI76" s="204"/>
      <c r="DJ76" s="204"/>
      <c r="DK76" s="204"/>
      <c r="DL76" s="204"/>
      <c r="DM76" s="204"/>
      <c r="DN76" s="204"/>
      <c r="DO76" s="204"/>
      <c r="DP76" s="204"/>
      <c r="DQ76" s="204"/>
      <c r="DR76" s="204"/>
      <c r="DS76" s="204"/>
      <c r="DT76" s="204"/>
      <c r="DU76" s="204"/>
      <c r="DV76" s="204"/>
      <c r="DW76" s="204"/>
      <c r="DX76" s="204"/>
      <c r="DY76" s="204"/>
      <c r="DZ76" s="204"/>
      <c r="EA76" s="204"/>
      <c r="EB76" s="204"/>
      <c r="EC76" s="204"/>
      <c r="ED76" s="204"/>
      <c r="EE76" s="204"/>
      <c r="EF76" s="204"/>
      <c r="EG76" s="204"/>
      <c r="EH76" s="204"/>
      <c r="EI76" s="204"/>
      <c r="EJ76" s="204"/>
      <c r="EK76" s="204"/>
      <c r="EL76" s="204"/>
      <c r="EM76" s="204"/>
      <c r="EN76" s="204"/>
      <c r="EO76" s="204"/>
      <c r="EP76" s="204"/>
      <c r="EQ76" s="204"/>
      <c r="ER76" s="204"/>
      <c r="ES76" s="204"/>
      <c r="ET76" s="204"/>
      <c r="EU76" s="204"/>
      <c r="EV76" s="204"/>
      <c r="EW76" s="204"/>
      <c r="EX76" s="204"/>
      <c r="EY76" s="204"/>
      <c r="EZ76" s="204"/>
      <c r="FA76" s="204"/>
      <c r="FB76" s="204"/>
      <c r="FC76" s="204"/>
    </row>
    <row r="77" spans="1:159" s="204" customFormat="1" ht="88.5" customHeight="1">
      <c r="B77" s="920" t="s">
        <v>846</v>
      </c>
      <c r="C77" s="920" t="s">
        <v>882</v>
      </c>
      <c r="D77" s="920" t="s">
        <v>633</v>
      </c>
      <c r="E77" s="920" t="s">
        <v>636</v>
      </c>
      <c r="F77" s="925" t="s">
        <v>1358</v>
      </c>
      <c r="G77" s="937">
        <v>1</v>
      </c>
      <c r="H77" s="948" t="s">
        <v>1159</v>
      </c>
      <c r="I77" s="618">
        <v>1</v>
      </c>
      <c r="J77" s="617" t="s">
        <v>1114</v>
      </c>
      <c r="K77" s="704" t="s">
        <v>527</v>
      </c>
      <c r="L77" s="704" t="s">
        <v>1058</v>
      </c>
      <c r="M77" s="705" t="s">
        <v>522</v>
      </c>
      <c r="N77" s="706">
        <v>1</v>
      </c>
      <c r="O77" s="442">
        <v>1</v>
      </c>
      <c r="P77" s="442">
        <v>1</v>
      </c>
      <c r="Q77" s="696">
        <f>I77</f>
        <v>1</v>
      </c>
      <c r="R77" s="459" t="s">
        <v>789</v>
      </c>
      <c r="S77" s="936" t="s">
        <v>1003</v>
      </c>
      <c r="T77" s="601"/>
    </row>
    <row r="78" spans="1:159" s="204" customFormat="1" ht="57.75" customHeight="1">
      <c r="B78" s="921"/>
      <c r="C78" s="921"/>
      <c r="D78" s="921"/>
      <c r="E78" s="921"/>
      <c r="F78" s="927"/>
      <c r="G78" s="938"/>
      <c r="H78" s="949"/>
      <c r="I78" s="618">
        <v>1</v>
      </c>
      <c r="J78" s="617" t="s">
        <v>788</v>
      </c>
      <c r="K78" s="704" t="s">
        <v>527</v>
      </c>
      <c r="L78" s="704" t="s">
        <v>1054</v>
      </c>
      <c r="M78" s="706">
        <v>0.15</v>
      </c>
      <c r="N78" s="706">
        <v>0.25</v>
      </c>
      <c r="O78" s="468">
        <v>0.5</v>
      </c>
      <c r="P78" s="468">
        <v>0.75</v>
      </c>
      <c r="Q78" s="696">
        <f t="shared" si="0"/>
        <v>1</v>
      </c>
      <c r="R78" s="459" t="s">
        <v>790</v>
      </c>
      <c r="S78" s="936"/>
      <c r="T78" s="707" t="s">
        <v>1318</v>
      </c>
    </row>
    <row r="79" spans="1:159" s="493" customFormat="1" ht="150" customHeight="1">
      <c r="A79" s="204"/>
      <c r="B79" s="517" t="s">
        <v>846</v>
      </c>
      <c r="C79" s="517" t="s">
        <v>859</v>
      </c>
      <c r="D79" s="517" t="s">
        <v>633</v>
      </c>
      <c r="E79" s="517" t="s">
        <v>638</v>
      </c>
      <c r="F79" s="619" t="s">
        <v>1359</v>
      </c>
      <c r="G79" s="602">
        <v>1</v>
      </c>
      <c r="H79" s="409" t="s">
        <v>570</v>
      </c>
      <c r="I79" s="620" t="s">
        <v>1243</v>
      </c>
      <c r="J79" s="409" t="s">
        <v>791</v>
      </c>
      <c r="K79" s="602" t="s">
        <v>772</v>
      </c>
      <c r="L79" s="602"/>
      <c r="M79" s="409" t="s">
        <v>842</v>
      </c>
      <c r="N79" s="491" t="s">
        <v>1116</v>
      </c>
      <c r="O79" s="491" t="s">
        <v>1116</v>
      </c>
      <c r="P79" s="491" t="s">
        <v>1115</v>
      </c>
      <c r="Q79" s="708" t="str">
        <f t="shared" si="0"/>
        <v>Por definir</v>
      </c>
      <c r="R79" s="517" t="s">
        <v>584</v>
      </c>
      <c r="S79" s="517" t="s">
        <v>1241</v>
      </c>
      <c r="T79" s="513"/>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c r="BW79" s="204"/>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204"/>
      <c r="DR79" s="204"/>
      <c r="DS79" s="204"/>
      <c r="DT79" s="204"/>
      <c r="DU79" s="204"/>
      <c r="DV79" s="204"/>
      <c r="DW79" s="204"/>
      <c r="DX79" s="204"/>
      <c r="DY79" s="204"/>
      <c r="DZ79" s="204"/>
      <c r="EA79" s="204"/>
      <c r="EB79" s="204"/>
      <c r="EC79" s="204"/>
      <c r="ED79" s="204"/>
      <c r="EE79" s="204"/>
      <c r="EF79" s="204"/>
      <c r="EG79" s="204"/>
      <c r="EH79" s="204"/>
      <c r="EI79" s="204"/>
      <c r="EJ79" s="204"/>
      <c r="EK79" s="204"/>
      <c r="EL79" s="204"/>
      <c r="EM79" s="204"/>
      <c r="EN79" s="204"/>
      <c r="EO79" s="204"/>
      <c r="EP79" s="204"/>
      <c r="EQ79" s="204"/>
      <c r="ER79" s="204"/>
      <c r="ES79" s="204"/>
      <c r="ET79" s="204"/>
      <c r="EU79" s="204"/>
      <c r="EV79" s="204"/>
      <c r="EW79" s="204"/>
      <c r="EX79" s="204"/>
      <c r="EY79" s="204"/>
      <c r="EZ79" s="204"/>
      <c r="FA79" s="204"/>
      <c r="FB79" s="204"/>
      <c r="FC79" s="204"/>
    </row>
    <row r="80" spans="1:159" s="204" customFormat="1" ht="97.5" customHeight="1">
      <c r="B80" s="920" t="s">
        <v>847</v>
      </c>
      <c r="C80" s="697" t="s">
        <v>865</v>
      </c>
      <c r="D80" s="920" t="s">
        <v>633</v>
      </c>
      <c r="E80" s="920" t="s">
        <v>640</v>
      </c>
      <c r="F80" s="925" t="s">
        <v>1092</v>
      </c>
      <c r="G80" s="344">
        <v>1</v>
      </c>
      <c r="H80" s="345" t="s">
        <v>447</v>
      </c>
      <c r="I80" s="442">
        <v>1</v>
      </c>
      <c r="J80" s="345" t="s">
        <v>1111</v>
      </c>
      <c r="K80" s="344" t="s">
        <v>526</v>
      </c>
      <c r="L80" s="344"/>
      <c r="M80" s="344" t="s">
        <v>522</v>
      </c>
      <c r="N80" s="468">
        <v>0.25</v>
      </c>
      <c r="O80" s="442">
        <v>0.5</v>
      </c>
      <c r="P80" s="442">
        <v>0.75</v>
      </c>
      <c r="Q80" s="696">
        <f t="shared" si="0"/>
        <v>1</v>
      </c>
      <c r="R80" s="697" t="s">
        <v>1242</v>
      </c>
      <c r="S80" s="459"/>
      <c r="T80" s="601"/>
    </row>
    <row r="81" spans="1:159" s="204" customFormat="1" ht="72" customHeight="1">
      <c r="B81" s="924"/>
      <c r="C81" s="697" t="s">
        <v>865</v>
      </c>
      <c r="D81" s="924"/>
      <c r="E81" s="924"/>
      <c r="F81" s="926"/>
      <c r="G81" s="344">
        <v>2</v>
      </c>
      <c r="H81" s="345" t="s">
        <v>426</v>
      </c>
      <c r="I81" s="442">
        <v>1</v>
      </c>
      <c r="J81" s="345" t="s">
        <v>1112</v>
      </c>
      <c r="K81" s="344" t="s">
        <v>526</v>
      </c>
      <c r="L81" s="344"/>
      <c r="M81" s="344" t="s">
        <v>522</v>
      </c>
      <c r="N81" s="468">
        <v>0.25</v>
      </c>
      <c r="O81" s="442">
        <v>0.5</v>
      </c>
      <c r="P81" s="442">
        <v>0.75</v>
      </c>
      <c r="Q81" s="696">
        <f t="shared" si="0"/>
        <v>1</v>
      </c>
      <c r="R81" s="697" t="s">
        <v>1242</v>
      </c>
      <c r="S81" s="459"/>
      <c r="T81" s="601"/>
    </row>
    <row r="82" spans="1:159" s="204" customFormat="1" ht="99" customHeight="1">
      <c r="B82" s="924"/>
      <c r="C82" s="697" t="s">
        <v>865</v>
      </c>
      <c r="D82" s="924"/>
      <c r="E82" s="924"/>
      <c r="F82" s="926"/>
      <c r="G82" s="599">
        <v>3</v>
      </c>
      <c r="H82" s="345" t="s">
        <v>429</v>
      </c>
      <c r="I82" s="442">
        <v>1</v>
      </c>
      <c r="J82" s="345" t="s">
        <v>1113</v>
      </c>
      <c r="K82" s="344" t="s">
        <v>526</v>
      </c>
      <c r="L82" s="344"/>
      <c r="M82" s="344" t="s">
        <v>522</v>
      </c>
      <c r="N82" s="468">
        <v>0.1</v>
      </c>
      <c r="O82" s="442">
        <v>0.25</v>
      </c>
      <c r="P82" s="442">
        <v>0.7</v>
      </c>
      <c r="Q82" s="696">
        <f t="shared" si="0"/>
        <v>1</v>
      </c>
      <c r="R82" s="697" t="s">
        <v>1242</v>
      </c>
      <c r="S82" s="459"/>
      <c r="T82" s="601"/>
    </row>
    <row r="83" spans="1:159" s="204" customFormat="1" ht="110.25" customHeight="1">
      <c r="B83" s="921"/>
      <c r="C83" s="697" t="s">
        <v>865</v>
      </c>
      <c r="D83" s="921"/>
      <c r="E83" s="921"/>
      <c r="F83" s="927"/>
      <c r="G83" s="599">
        <v>4</v>
      </c>
      <c r="H83" s="436" t="s">
        <v>997</v>
      </c>
      <c r="I83" s="477">
        <v>30</v>
      </c>
      <c r="J83" s="345" t="s">
        <v>1160</v>
      </c>
      <c r="K83" s="344" t="s">
        <v>527</v>
      </c>
      <c r="L83" s="344" t="s">
        <v>1055</v>
      </c>
      <c r="M83" s="476">
        <v>6</v>
      </c>
      <c r="N83" s="476">
        <v>6</v>
      </c>
      <c r="O83" s="477">
        <v>8</v>
      </c>
      <c r="P83" s="477">
        <v>8</v>
      </c>
      <c r="Q83" s="477">
        <v>8</v>
      </c>
      <c r="R83" s="459" t="s">
        <v>786</v>
      </c>
      <c r="S83" s="459"/>
      <c r="T83" s="601"/>
    </row>
    <row r="84" spans="1:159" s="493" customFormat="1" ht="85.5" customHeight="1">
      <c r="A84" s="204"/>
      <c r="B84" s="517" t="s">
        <v>846</v>
      </c>
      <c r="C84" s="517" t="s">
        <v>863</v>
      </c>
      <c r="D84" s="517" t="s">
        <v>633</v>
      </c>
      <c r="E84" s="517" t="s">
        <v>641</v>
      </c>
      <c r="F84" s="519" t="s">
        <v>1393</v>
      </c>
      <c r="G84" s="602">
        <v>1</v>
      </c>
      <c r="H84" s="409" t="s">
        <v>560</v>
      </c>
      <c r="I84" s="709">
        <v>20000</v>
      </c>
      <c r="J84" s="606" t="s">
        <v>1043</v>
      </c>
      <c r="K84" s="602" t="s">
        <v>527</v>
      </c>
      <c r="L84" s="602" t="s">
        <v>1095</v>
      </c>
      <c r="M84" s="548" t="s">
        <v>502</v>
      </c>
      <c r="N84" s="710">
        <v>12170</v>
      </c>
      <c r="O84" s="710">
        <v>14180</v>
      </c>
      <c r="P84" s="710">
        <v>17390</v>
      </c>
      <c r="Q84" s="710">
        <v>20000</v>
      </c>
      <c r="R84" s="637" t="s">
        <v>1243</v>
      </c>
      <c r="S84" s="637" t="s">
        <v>335</v>
      </c>
      <c r="T84" s="513"/>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c r="BM84" s="204"/>
      <c r="BN84" s="204"/>
      <c r="BO84" s="204"/>
      <c r="BP84" s="204"/>
      <c r="BQ84" s="204"/>
      <c r="BR84" s="204"/>
      <c r="BS84" s="204"/>
      <c r="BT84" s="204"/>
      <c r="BU84" s="204"/>
      <c r="BV84" s="204"/>
      <c r="BW84" s="204"/>
      <c r="BX84" s="204"/>
      <c r="BY84" s="204"/>
      <c r="BZ84" s="204"/>
      <c r="CA84" s="204"/>
      <c r="CB84" s="204"/>
      <c r="CC84" s="204"/>
      <c r="CD84" s="204"/>
      <c r="CE84" s="204"/>
      <c r="CF84" s="204"/>
      <c r="CG84" s="204"/>
      <c r="CH84" s="204"/>
      <c r="CI84" s="204"/>
      <c r="CJ84" s="204"/>
      <c r="CK84" s="204"/>
      <c r="CL84" s="204"/>
      <c r="CM84" s="204"/>
      <c r="CN84" s="204"/>
      <c r="CO84" s="204"/>
      <c r="CP84" s="20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row>
    <row r="85" spans="1:159" s="204" customFormat="1" ht="62.25" customHeight="1">
      <c r="B85" s="920" t="s">
        <v>848</v>
      </c>
      <c r="C85" s="697" t="s">
        <v>865</v>
      </c>
      <c r="D85" s="920" t="s">
        <v>633</v>
      </c>
      <c r="E85" s="920" t="s">
        <v>741</v>
      </c>
      <c r="F85" s="925" t="s">
        <v>646</v>
      </c>
      <c r="G85" s="344">
        <v>1</v>
      </c>
      <c r="H85" s="345" t="s">
        <v>643</v>
      </c>
      <c r="I85" s="442">
        <v>1</v>
      </c>
      <c r="J85" s="345" t="s">
        <v>1080</v>
      </c>
      <c r="K85" s="599" t="s">
        <v>526</v>
      </c>
      <c r="L85" s="344" t="s">
        <v>1054</v>
      </c>
      <c r="M85" s="442" t="s">
        <v>1081</v>
      </c>
      <c r="N85" s="468">
        <v>1</v>
      </c>
      <c r="O85" s="344" t="s">
        <v>330</v>
      </c>
      <c r="P85" s="344" t="s">
        <v>330</v>
      </c>
      <c r="Q85" s="711" t="s">
        <v>330</v>
      </c>
      <c r="R85" s="459" t="s">
        <v>352</v>
      </c>
      <c r="S85" s="920" t="s">
        <v>836</v>
      </c>
      <c r="T85" s="950"/>
    </row>
    <row r="86" spans="1:159" s="204" customFormat="1" ht="48.75" customHeight="1">
      <c r="B86" s="924"/>
      <c r="C86" s="697" t="s">
        <v>865</v>
      </c>
      <c r="D86" s="924"/>
      <c r="E86" s="924"/>
      <c r="F86" s="926"/>
      <c r="G86" s="344">
        <v>2</v>
      </c>
      <c r="H86" s="345" t="s">
        <v>644</v>
      </c>
      <c r="I86" s="442">
        <v>0.5</v>
      </c>
      <c r="J86" s="345" t="s">
        <v>792</v>
      </c>
      <c r="K86" s="344" t="s">
        <v>527</v>
      </c>
      <c r="L86" s="344" t="s">
        <v>1054</v>
      </c>
      <c r="M86" s="344" t="s">
        <v>834</v>
      </c>
      <c r="N86" s="442">
        <v>0.05</v>
      </c>
      <c r="O86" s="442">
        <v>0.25</v>
      </c>
      <c r="P86" s="442">
        <v>0.4</v>
      </c>
      <c r="Q86" s="711">
        <f>I86</f>
        <v>0.5</v>
      </c>
      <c r="R86" s="699" t="s">
        <v>1003</v>
      </c>
      <c r="S86" s="921"/>
      <c r="T86" s="951"/>
    </row>
    <row r="87" spans="1:159" s="204" customFormat="1" ht="99.75" customHeight="1">
      <c r="B87" s="924"/>
      <c r="C87" s="459" t="s">
        <v>1146</v>
      </c>
      <c r="D87" s="924"/>
      <c r="E87" s="924"/>
      <c r="F87" s="926"/>
      <c r="G87" s="344">
        <v>3</v>
      </c>
      <c r="H87" s="345" t="s">
        <v>645</v>
      </c>
      <c r="I87" s="480">
        <v>4</v>
      </c>
      <c r="J87" s="481" t="s">
        <v>1082</v>
      </c>
      <c r="K87" s="344" t="s">
        <v>526</v>
      </c>
      <c r="L87" s="344" t="s">
        <v>1055</v>
      </c>
      <c r="M87" s="442" t="s">
        <v>834</v>
      </c>
      <c r="N87" s="344">
        <v>1</v>
      </c>
      <c r="O87" s="344">
        <v>1</v>
      </c>
      <c r="P87" s="344">
        <v>1</v>
      </c>
      <c r="Q87" s="712">
        <v>1</v>
      </c>
      <c r="R87" s="459" t="s">
        <v>1244</v>
      </c>
      <c r="S87" s="459" t="s">
        <v>837</v>
      </c>
      <c r="T87" s="601"/>
    </row>
    <row r="88" spans="1:159" s="204" customFormat="1" ht="135.75" customHeight="1">
      <c r="B88" s="924"/>
      <c r="C88" s="920" t="s">
        <v>865</v>
      </c>
      <c r="D88" s="924"/>
      <c r="E88" s="924"/>
      <c r="F88" s="926"/>
      <c r="G88" s="937">
        <v>4</v>
      </c>
      <c r="H88" s="942" t="s">
        <v>1083</v>
      </c>
      <c r="I88" s="482">
        <v>0.5</v>
      </c>
      <c r="J88" s="596" t="s">
        <v>1014</v>
      </c>
      <c r="K88" s="344" t="s">
        <v>526</v>
      </c>
      <c r="L88" s="344" t="s">
        <v>1054</v>
      </c>
      <c r="M88" s="442" t="s">
        <v>1015</v>
      </c>
      <c r="N88" s="442">
        <v>0</v>
      </c>
      <c r="O88" s="442">
        <v>0.1</v>
      </c>
      <c r="P88" s="442">
        <v>0.2</v>
      </c>
      <c r="Q88" s="713">
        <v>0.2</v>
      </c>
      <c r="R88" s="459" t="s">
        <v>838</v>
      </c>
      <c r="S88" s="459" t="s">
        <v>1245</v>
      </c>
      <c r="T88" s="483"/>
    </row>
    <row r="89" spans="1:159" s="204" customFormat="1" ht="133.5" customHeight="1">
      <c r="B89" s="924"/>
      <c r="C89" s="921"/>
      <c r="D89" s="924"/>
      <c r="E89" s="924"/>
      <c r="F89" s="926"/>
      <c r="G89" s="938"/>
      <c r="H89" s="944"/>
      <c r="I89" s="482">
        <v>0.2</v>
      </c>
      <c r="J89" s="596" t="s">
        <v>1016</v>
      </c>
      <c r="K89" s="344" t="s">
        <v>526</v>
      </c>
      <c r="L89" s="344" t="s">
        <v>1054</v>
      </c>
      <c r="M89" s="344" t="s">
        <v>1017</v>
      </c>
      <c r="N89" s="442">
        <v>0</v>
      </c>
      <c r="O89" s="442">
        <v>0.05</v>
      </c>
      <c r="P89" s="442">
        <v>0.05</v>
      </c>
      <c r="Q89" s="713">
        <v>0.1</v>
      </c>
      <c r="R89" s="459" t="s">
        <v>838</v>
      </c>
      <c r="S89" s="459" t="s">
        <v>1245</v>
      </c>
      <c r="T89" s="483"/>
    </row>
    <row r="90" spans="1:159" s="204" customFormat="1" ht="98.25" customHeight="1">
      <c r="B90" s="921"/>
      <c r="C90" s="459" t="s">
        <v>1145</v>
      </c>
      <c r="D90" s="921"/>
      <c r="E90" s="921"/>
      <c r="F90" s="927"/>
      <c r="G90" s="599">
        <v>5</v>
      </c>
      <c r="H90" s="484" t="s">
        <v>1004</v>
      </c>
      <c r="I90" s="442">
        <v>1</v>
      </c>
      <c r="J90" s="345" t="s">
        <v>1006</v>
      </c>
      <c r="K90" s="344" t="s">
        <v>527</v>
      </c>
      <c r="L90" s="344" t="s">
        <v>1054</v>
      </c>
      <c r="M90" s="442">
        <v>0</v>
      </c>
      <c r="N90" s="442">
        <f>(0/23)</f>
        <v>0</v>
      </c>
      <c r="O90" s="442">
        <f>(7/23)</f>
        <v>0.30434782608695654</v>
      </c>
      <c r="P90" s="442">
        <f>(15/23)</f>
        <v>0.65217391304347827</v>
      </c>
      <c r="Q90" s="442">
        <f>(23/23)</f>
        <v>1</v>
      </c>
      <c r="R90" s="459" t="s">
        <v>959</v>
      </c>
      <c r="S90" s="459" t="s">
        <v>967</v>
      </c>
      <c r="T90" s="483"/>
    </row>
    <row r="91" spans="1:159" s="549" customFormat="1" ht="75" customHeight="1">
      <c r="A91" s="311"/>
      <c r="B91" s="886" t="s">
        <v>1394</v>
      </c>
      <c r="C91" s="516" t="s">
        <v>1143</v>
      </c>
      <c r="D91" s="886" t="s">
        <v>273</v>
      </c>
      <c r="E91" s="886" t="s">
        <v>647</v>
      </c>
      <c r="F91" s="888" t="s">
        <v>981</v>
      </c>
      <c r="G91" s="602">
        <v>1</v>
      </c>
      <c r="H91" s="409" t="s">
        <v>794</v>
      </c>
      <c r="I91" s="495">
        <v>1</v>
      </c>
      <c r="J91" s="409" t="s">
        <v>531</v>
      </c>
      <c r="K91" s="602" t="s">
        <v>526</v>
      </c>
      <c r="L91" s="602" t="s">
        <v>1054</v>
      </c>
      <c r="M91" s="495">
        <v>0.9</v>
      </c>
      <c r="N91" s="495">
        <v>1</v>
      </c>
      <c r="O91" s="602" t="s">
        <v>330</v>
      </c>
      <c r="P91" s="602" t="s">
        <v>330</v>
      </c>
      <c r="Q91" s="630" t="s">
        <v>330</v>
      </c>
      <c r="R91" s="517" t="s">
        <v>661</v>
      </c>
      <c r="S91" s="517" t="s">
        <v>1246</v>
      </c>
      <c r="T91" s="502"/>
      <c r="U91" s="311"/>
      <c r="V91" s="311"/>
      <c r="W91" s="311"/>
      <c r="X91" s="311"/>
      <c r="Y91" s="311"/>
      <c r="Z91" s="311"/>
      <c r="AA91" s="311"/>
      <c r="AB91" s="311"/>
      <c r="AC91" s="311"/>
      <c r="AD91" s="311"/>
      <c r="AE91" s="311"/>
      <c r="AF91" s="311"/>
      <c r="AG91" s="311"/>
      <c r="AH91" s="311"/>
      <c r="AI91" s="311"/>
      <c r="AJ91" s="311"/>
      <c r="AK91" s="311"/>
      <c r="AL91" s="311"/>
      <c r="AM91" s="311"/>
      <c r="AN91" s="311"/>
      <c r="AO91" s="311"/>
      <c r="AP91" s="311"/>
      <c r="AQ91" s="311"/>
      <c r="AR91" s="311"/>
      <c r="AS91" s="311"/>
      <c r="AT91" s="311"/>
      <c r="AU91" s="311"/>
      <c r="AV91" s="311"/>
      <c r="AW91" s="311"/>
      <c r="AX91" s="311"/>
      <c r="AY91" s="311"/>
      <c r="AZ91" s="311"/>
      <c r="BA91" s="311"/>
      <c r="BB91" s="311"/>
      <c r="BC91" s="311"/>
      <c r="BD91" s="311"/>
      <c r="BE91" s="311"/>
      <c r="BF91" s="311"/>
      <c r="BG91" s="311"/>
      <c r="BH91" s="311"/>
      <c r="BI91" s="311"/>
      <c r="BJ91" s="311"/>
      <c r="BK91" s="311"/>
      <c r="BL91" s="311"/>
      <c r="BM91" s="311"/>
      <c r="BN91" s="311"/>
      <c r="BO91" s="311"/>
      <c r="BP91" s="311"/>
      <c r="BQ91" s="311"/>
      <c r="BR91" s="311"/>
      <c r="BS91" s="311"/>
      <c r="BT91" s="311"/>
      <c r="BU91" s="311"/>
      <c r="BV91" s="311"/>
      <c r="BW91" s="311"/>
      <c r="BX91" s="311"/>
      <c r="BY91" s="311"/>
      <c r="BZ91" s="311"/>
      <c r="CA91" s="311"/>
      <c r="CB91" s="311"/>
      <c r="CC91" s="311"/>
      <c r="CD91" s="311"/>
      <c r="CE91" s="311"/>
      <c r="CF91" s="311"/>
      <c r="CG91" s="311"/>
      <c r="CH91" s="311"/>
      <c r="CI91" s="311"/>
      <c r="CJ91" s="311"/>
      <c r="CK91" s="311"/>
      <c r="CL91" s="311"/>
      <c r="CM91" s="311"/>
      <c r="CN91" s="311"/>
      <c r="CO91" s="311"/>
      <c r="CP91" s="311"/>
      <c r="CQ91" s="311"/>
      <c r="CR91" s="311"/>
      <c r="CS91" s="311"/>
      <c r="CT91" s="311"/>
      <c r="CU91" s="311"/>
      <c r="CV91" s="311"/>
      <c r="CW91" s="311"/>
      <c r="CX91" s="311"/>
      <c r="CY91" s="311"/>
      <c r="CZ91" s="311"/>
      <c r="DA91" s="311"/>
      <c r="DB91" s="311"/>
      <c r="DC91" s="311"/>
      <c r="DD91" s="311"/>
      <c r="DE91" s="311"/>
      <c r="DF91" s="311"/>
      <c r="DG91" s="311"/>
      <c r="DH91" s="311"/>
      <c r="DI91" s="311"/>
      <c r="DJ91" s="311"/>
      <c r="DK91" s="311"/>
      <c r="DL91" s="311"/>
      <c r="DM91" s="311"/>
      <c r="DN91" s="311"/>
      <c r="DO91" s="311"/>
      <c r="DP91" s="311"/>
      <c r="DQ91" s="311"/>
      <c r="DR91" s="311"/>
      <c r="DS91" s="311"/>
      <c r="DT91" s="311"/>
      <c r="DU91" s="311"/>
      <c r="DV91" s="311"/>
      <c r="DW91" s="311"/>
      <c r="DX91" s="311"/>
      <c r="DY91" s="311"/>
      <c r="DZ91" s="311"/>
      <c r="EA91" s="311"/>
      <c r="EB91" s="311"/>
      <c r="EC91" s="311"/>
      <c r="ED91" s="311"/>
      <c r="EE91" s="311"/>
      <c r="EF91" s="311"/>
      <c r="EG91" s="311"/>
      <c r="EH91" s="311"/>
      <c r="EI91" s="311"/>
      <c r="EJ91" s="311"/>
      <c r="EK91" s="311"/>
      <c r="EL91" s="311"/>
      <c r="EM91" s="311"/>
      <c r="EN91" s="311"/>
      <c r="EO91" s="311"/>
      <c r="EP91" s="311"/>
      <c r="EQ91" s="311"/>
      <c r="ER91" s="311"/>
      <c r="ES91" s="311"/>
      <c r="ET91" s="311"/>
      <c r="EU91" s="311"/>
      <c r="EV91" s="311"/>
      <c r="EW91" s="311"/>
      <c r="EX91" s="311"/>
      <c r="EY91" s="311"/>
      <c r="EZ91" s="311"/>
      <c r="FA91" s="311"/>
      <c r="FB91" s="311"/>
      <c r="FC91" s="311"/>
    </row>
    <row r="92" spans="1:159" s="549" customFormat="1" ht="58.5" customHeight="1">
      <c r="A92" s="311"/>
      <c r="B92" s="904"/>
      <c r="C92" s="516" t="s">
        <v>1143</v>
      </c>
      <c r="D92" s="904"/>
      <c r="E92" s="904"/>
      <c r="F92" s="908"/>
      <c r="G92" s="914">
        <v>2</v>
      </c>
      <c r="H92" s="939" t="s">
        <v>1248</v>
      </c>
      <c r="I92" s="602">
        <v>4</v>
      </c>
      <c r="J92" s="409" t="s">
        <v>986</v>
      </c>
      <c r="K92" s="602" t="s">
        <v>772</v>
      </c>
      <c r="L92" s="602" t="s">
        <v>1055</v>
      </c>
      <c r="M92" s="495" t="s">
        <v>983</v>
      </c>
      <c r="N92" s="602" t="s">
        <v>330</v>
      </c>
      <c r="O92" s="602">
        <v>1</v>
      </c>
      <c r="P92" s="602">
        <v>1</v>
      </c>
      <c r="Q92" s="602">
        <v>2</v>
      </c>
      <c r="R92" s="714" t="s">
        <v>984</v>
      </c>
      <c r="S92" s="517" t="s">
        <v>584</v>
      </c>
      <c r="T92" s="502"/>
      <c r="U92" s="311"/>
      <c r="V92" s="311"/>
      <c r="W92" s="311"/>
      <c r="X92" s="311"/>
      <c r="Y92" s="311"/>
      <c r="Z92" s="311"/>
      <c r="AA92" s="311"/>
      <c r="AB92" s="311"/>
      <c r="AC92" s="311"/>
      <c r="AD92" s="311"/>
      <c r="AE92" s="311"/>
      <c r="AF92" s="311"/>
      <c r="AG92" s="311"/>
      <c r="AH92" s="311"/>
      <c r="AI92" s="311"/>
      <c r="AJ92" s="311"/>
      <c r="AK92" s="311"/>
      <c r="AL92" s="311"/>
      <c r="AM92" s="311"/>
      <c r="AN92" s="311"/>
      <c r="AO92" s="311"/>
      <c r="AP92" s="311"/>
      <c r="AQ92" s="311"/>
      <c r="AR92" s="311"/>
      <c r="AS92" s="311"/>
      <c r="AT92" s="311"/>
      <c r="AU92" s="311"/>
      <c r="AV92" s="311"/>
      <c r="AW92" s="311"/>
      <c r="AX92" s="311"/>
      <c r="AY92" s="311"/>
      <c r="AZ92" s="311"/>
      <c r="BA92" s="311"/>
      <c r="BB92" s="311"/>
      <c r="BC92" s="311"/>
      <c r="BD92" s="311"/>
      <c r="BE92" s="311"/>
      <c r="BF92" s="311"/>
      <c r="BG92" s="311"/>
      <c r="BH92" s="311"/>
      <c r="BI92" s="311"/>
      <c r="BJ92" s="311"/>
      <c r="BK92" s="311"/>
      <c r="BL92" s="311"/>
      <c r="BM92" s="311"/>
      <c r="BN92" s="311"/>
      <c r="BO92" s="311"/>
      <c r="BP92" s="311"/>
      <c r="BQ92" s="311"/>
      <c r="BR92" s="311"/>
      <c r="BS92" s="311"/>
      <c r="BT92" s="311"/>
      <c r="BU92" s="311"/>
      <c r="BV92" s="311"/>
      <c r="BW92" s="311"/>
      <c r="BX92" s="311"/>
      <c r="BY92" s="311"/>
      <c r="BZ92" s="311"/>
      <c r="CA92" s="311"/>
      <c r="CB92" s="311"/>
      <c r="CC92" s="311"/>
      <c r="CD92" s="311"/>
      <c r="CE92" s="311"/>
      <c r="CF92" s="311"/>
      <c r="CG92" s="311"/>
      <c r="CH92" s="311"/>
      <c r="CI92" s="311"/>
      <c r="CJ92" s="311"/>
      <c r="CK92" s="311"/>
      <c r="CL92" s="311"/>
      <c r="CM92" s="311"/>
      <c r="CN92" s="311"/>
      <c r="CO92" s="311"/>
      <c r="CP92" s="311"/>
      <c r="CQ92" s="311"/>
      <c r="CR92" s="311"/>
      <c r="CS92" s="311"/>
      <c r="CT92" s="311"/>
      <c r="CU92" s="311"/>
      <c r="CV92" s="311"/>
      <c r="CW92" s="311"/>
      <c r="CX92" s="311"/>
      <c r="CY92" s="311"/>
      <c r="CZ92" s="311"/>
      <c r="DA92" s="311"/>
      <c r="DB92" s="311"/>
      <c r="DC92" s="311"/>
      <c r="DD92" s="311"/>
      <c r="DE92" s="311"/>
      <c r="DF92" s="311"/>
      <c r="DG92" s="311"/>
      <c r="DH92" s="311"/>
      <c r="DI92" s="311"/>
      <c r="DJ92" s="311"/>
      <c r="DK92" s="311"/>
      <c r="DL92" s="311"/>
      <c r="DM92" s="311"/>
      <c r="DN92" s="311"/>
      <c r="DO92" s="311"/>
      <c r="DP92" s="311"/>
      <c r="DQ92" s="311"/>
      <c r="DR92" s="311"/>
      <c r="DS92" s="311"/>
      <c r="DT92" s="311"/>
      <c r="DU92" s="311"/>
      <c r="DV92" s="311"/>
      <c r="DW92" s="311"/>
      <c r="DX92" s="311"/>
      <c r="DY92" s="311"/>
      <c r="DZ92" s="311"/>
      <c r="EA92" s="311"/>
      <c r="EB92" s="311"/>
      <c r="EC92" s="311"/>
      <c r="ED92" s="311"/>
      <c r="EE92" s="311"/>
      <c r="EF92" s="311"/>
      <c r="EG92" s="311"/>
      <c r="EH92" s="311"/>
      <c r="EI92" s="311"/>
      <c r="EJ92" s="311"/>
      <c r="EK92" s="311"/>
      <c r="EL92" s="311"/>
      <c r="EM92" s="311"/>
      <c r="EN92" s="311"/>
      <c r="EO92" s="311"/>
      <c r="EP92" s="311"/>
      <c r="EQ92" s="311"/>
      <c r="ER92" s="311"/>
      <c r="ES92" s="311"/>
      <c r="ET92" s="311"/>
      <c r="EU92" s="311"/>
      <c r="EV92" s="311"/>
      <c r="EW92" s="311"/>
      <c r="EX92" s="311"/>
      <c r="EY92" s="311"/>
      <c r="EZ92" s="311"/>
      <c r="FA92" s="311"/>
      <c r="FB92" s="311"/>
      <c r="FC92" s="311"/>
    </row>
    <row r="93" spans="1:159" s="549" customFormat="1" ht="108" customHeight="1">
      <c r="A93" s="311"/>
      <c r="B93" s="904"/>
      <c r="C93" s="516" t="s">
        <v>1143</v>
      </c>
      <c r="D93" s="904"/>
      <c r="E93" s="904"/>
      <c r="F93" s="908"/>
      <c r="G93" s="916"/>
      <c r="H93" s="940"/>
      <c r="I93" s="594">
        <v>2</v>
      </c>
      <c r="J93" s="409" t="s">
        <v>982</v>
      </c>
      <c r="K93" s="602" t="s">
        <v>772</v>
      </c>
      <c r="L93" s="602" t="s">
        <v>1055</v>
      </c>
      <c r="M93" s="518" t="s">
        <v>522</v>
      </c>
      <c r="N93" s="495" t="s">
        <v>330</v>
      </c>
      <c r="O93" s="602" t="s">
        <v>330</v>
      </c>
      <c r="P93" s="602">
        <v>3</v>
      </c>
      <c r="Q93" s="630" t="s">
        <v>330</v>
      </c>
      <c r="R93" s="714" t="s">
        <v>1249</v>
      </c>
      <c r="S93" s="517" t="s">
        <v>1250</v>
      </c>
      <c r="T93" s="502"/>
      <c r="U93" s="311"/>
      <c r="V93" s="311"/>
      <c r="W93" s="311"/>
      <c r="X93" s="311"/>
      <c r="Y93" s="311"/>
      <c r="Z93" s="311"/>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311"/>
      <c r="BI93" s="311"/>
      <c r="BJ93" s="311"/>
      <c r="BK93" s="311"/>
      <c r="BL93" s="311"/>
      <c r="BM93" s="311"/>
      <c r="BN93" s="311"/>
      <c r="BO93" s="311"/>
      <c r="BP93" s="311"/>
      <c r="BQ93" s="311"/>
      <c r="BR93" s="311"/>
      <c r="BS93" s="311"/>
      <c r="BT93" s="311"/>
      <c r="BU93" s="311"/>
      <c r="BV93" s="311"/>
      <c r="BW93" s="311"/>
      <c r="BX93" s="311"/>
      <c r="BY93" s="311"/>
      <c r="BZ93" s="311"/>
      <c r="CA93" s="311"/>
      <c r="CB93" s="311"/>
      <c r="CC93" s="311"/>
      <c r="CD93" s="311"/>
      <c r="CE93" s="311"/>
      <c r="CF93" s="311"/>
      <c r="CG93" s="311"/>
      <c r="CH93" s="311"/>
      <c r="CI93" s="311"/>
      <c r="CJ93" s="311"/>
      <c r="CK93" s="311"/>
      <c r="CL93" s="311"/>
      <c r="CM93" s="311"/>
      <c r="CN93" s="311"/>
      <c r="CO93" s="311"/>
      <c r="CP93" s="311"/>
      <c r="CQ93" s="311"/>
      <c r="CR93" s="311"/>
      <c r="CS93" s="311"/>
      <c r="CT93" s="311"/>
      <c r="CU93" s="311"/>
      <c r="CV93" s="311"/>
      <c r="CW93" s="311"/>
      <c r="CX93" s="311"/>
      <c r="CY93" s="311"/>
      <c r="CZ93" s="311"/>
      <c r="DA93" s="311"/>
      <c r="DB93" s="311"/>
      <c r="DC93" s="311"/>
      <c r="DD93" s="311"/>
      <c r="DE93" s="311"/>
      <c r="DF93" s="311"/>
      <c r="DG93" s="311"/>
      <c r="DH93" s="311"/>
      <c r="DI93" s="311"/>
      <c r="DJ93" s="311"/>
      <c r="DK93" s="311"/>
      <c r="DL93" s="311"/>
      <c r="DM93" s="311"/>
      <c r="DN93" s="311"/>
      <c r="DO93" s="311"/>
      <c r="DP93" s="311"/>
      <c r="DQ93" s="311"/>
      <c r="DR93" s="311"/>
      <c r="DS93" s="311"/>
      <c r="DT93" s="311"/>
      <c r="DU93" s="311"/>
      <c r="DV93" s="311"/>
      <c r="DW93" s="311"/>
      <c r="DX93" s="311"/>
      <c r="DY93" s="311"/>
      <c r="DZ93" s="311"/>
      <c r="EA93" s="311"/>
      <c r="EB93" s="311"/>
      <c r="EC93" s="311"/>
      <c r="ED93" s="311"/>
      <c r="EE93" s="311"/>
      <c r="EF93" s="311"/>
      <c r="EG93" s="311"/>
      <c r="EH93" s="311"/>
      <c r="EI93" s="311"/>
      <c r="EJ93" s="311"/>
      <c r="EK93" s="311"/>
      <c r="EL93" s="311"/>
      <c r="EM93" s="311"/>
      <c r="EN93" s="311"/>
      <c r="EO93" s="311"/>
      <c r="EP93" s="311"/>
      <c r="EQ93" s="311"/>
      <c r="ER93" s="311"/>
      <c r="ES93" s="311"/>
      <c r="ET93" s="311"/>
      <c r="EU93" s="311"/>
      <c r="EV93" s="311"/>
      <c r="EW93" s="311"/>
      <c r="EX93" s="311"/>
      <c r="EY93" s="311"/>
      <c r="EZ93" s="311"/>
      <c r="FA93" s="311"/>
      <c r="FB93" s="311"/>
      <c r="FC93" s="311"/>
    </row>
    <row r="94" spans="1:159" s="549" customFormat="1" ht="59.25" customHeight="1">
      <c r="A94" s="311"/>
      <c r="B94" s="904"/>
      <c r="C94" s="516" t="s">
        <v>1143</v>
      </c>
      <c r="D94" s="904"/>
      <c r="E94" s="904"/>
      <c r="F94" s="908"/>
      <c r="G94" s="594">
        <v>3</v>
      </c>
      <c r="H94" s="621" t="s">
        <v>1360</v>
      </c>
      <c r="I94" s="602">
        <v>2</v>
      </c>
      <c r="J94" s="409" t="s">
        <v>1084</v>
      </c>
      <c r="K94" s="602" t="s">
        <v>772</v>
      </c>
      <c r="L94" s="602" t="s">
        <v>1055</v>
      </c>
      <c r="M94" s="518" t="s">
        <v>522</v>
      </c>
      <c r="N94" s="495" t="s">
        <v>990</v>
      </c>
      <c r="O94" s="602">
        <v>2</v>
      </c>
      <c r="P94" s="602" t="s">
        <v>330</v>
      </c>
      <c r="Q94" s="630" t="s">
        <v>330</v>
      </c>
      <c r="R94" s="714" t="s">
        <v>991</v>
      </c>
      <c r="S94" s="517" t="s">
        <v>1247</v>
      </c>
      <c r="T94" s="502"/>
      <c r="U94" s="311"/>
      <c r="V94" s="311"/>
      <c r="W94" s="311"/>
      <c r="X94" s="311"/>
      <c r="Y94" s="311"/>
      <c r="Z94" s="311"/>
      <c r="AA94" s="311"/>
      <c r="AB94" s="311"/>
      <c r="AC94" s="311"/>
      <c r="AD94" s="311"/>
      <c r="AE94" s="311"/>
      <c r="AF94" s="311"/>
      <c r="AG94" s="311"/>
      <c r="AH94" s="311"/>
      <c r="AI94" s="311"/>
      <c r="AJ94" s="311"/>
      <c r="AK94" s="311"/>
      <c r="AL94" s="311"/>
      <c r="AM94" s="311"/>
      <c r="AN94" s="311"/>
      <c r="AO94" s="311"/>
      <c r="AP94" s="311"/>
      <c r="AQ94" s="311"/>
      <c r="AR94" s="311"/>
      <c r="AS94" s="311"/>
      <c r="AT94" s="311"/>
      <c r="AU94" s="311"/>
      <c r="AV94" s="311"/>
      <c r="AW94" s="311"/>
      <c r="AX94" s="311"/>
      <c r="AY94" s="311"/>
      <c r="AZ94" s="311"/>
      <c r="BA94" s="311"/>
      <c r="BB94" s="311"/>
      <c r="BC94" s="311"/>
      <c r="BD94" s="311"/>
      <c r="BE94" s="311"/>
      <c r="BF94" s="311"/>
      <c r="BG94" s="311"/>
      <c r="BH94" s="311"/>
      <c r="BI94" s="311"/>
      <c r="BJ94" s="311"/>
      <c r="BK94" s="311"/>
      <c r="BL94" s="311"/>
      <c r="BM94" s="311"/>
      <c r="BN94" s="311"/>
      <c r="BO94" s="311"/>
      <c r="BP94" s="311"/>
      <c r="BQ94" s="311"/>
      <c r="BR94" s="311"/>
      <c r="BS94" s="311"/>
      <c r="BT94" s="311"/>
      <c r="BU94" s="311"/>
      <c r="BV94" s="311"/>
      <c r="BW94" s="311"/>
      <c r="BX94" s="311"/>
      <c r="BY94" s="311"/>
      <c r="BZ94" s="311"/>
      <c r="CA94" s="311"/>
      <c r="CB94" s="311"/>
      <c r="CC94" s="311"/>
      <c r="CD94" s="311"/>
      <c r="CE94" s="311"/>
      <c r="CF94" s="311"/>
      <c r="CG94" s="311"/>
      <c r="CH94" s="311"/>
      <c r="CI94" s="311"/>
      <c r="CJ94" s="311"/>
      <c r="CK94" s="311"/>
      <c r="CL94" s="311"/>
      <c r="CM94" s="311"/>
      <c r="CN94" s="311"/>
      <c r="CO94" s="311"/>
      <c r="CP94" s="311"/>
      <c r="CQ94" s="311"/>
      <c r="CR94" s="311"/>
      <c r="CS94" s="311"/>
      <c r="CT94" s="311"/>
      <c r="CU94" s="311"/>
      <c r="CV94" s="311"/>
      <c r="CW94" s="311"/>
      <c r="CX94" s="311"/>
      <c r="CY94" s="311"/>
      <c r="CZ94" s="311"/>
      <c r="DA94" s="311"/>
      <c r="DB94" s="311"/>
      <c r="DC94" s="311"/>
      <c r="DD94" s="311"/>
      <c r="DE94" s="311"/>
      <c r="DF94" s="311"/>
      <c r="DG94" s="311"/>
      <c r="DH94" s="311"/>
      <c r="DI94" s="311"/>
      <c r="DJ94" s="311"/>
      <c r="DK94" s="311"/>
      <c r="DL94" s="311"/>
      <c r="DM94" s="311"/>
      <c r="DN94" s="311"/>
      <c r="DO94" s="311"/>
      <c r="DP94" s="311"/>
      <c r="DQ94" s="311"/>
      <c r="DR94" s="311"/>
      <c r="DS94" s="311"/>
      <c r="DT94" s="311"/>
      <c r="DU94" s="311"/>
      <c r="DV94" s="311"/>
      <c r="DW94" s="311"/>
      <c r="DX94" s="311"/>
      <c r="DY94" s="311"/>
      <c r="DZ94" s="311"/>
      <c r="EA94" s="311"/>
      <c r="EB94" s="311"/>
      <c r="EC94" s="311"/>
      <c r="ED94" s="311"/>
      <c r="EE94" s="311"/>
      <c r="EF94" s="311"/>
      <c r="EG94" s="311"/>
      <c r="EH94" s="311"/>
      <c r="EI94" s="311"/>
      <c r="EJ94" s="311"/>
      <c r="EK94" s="311"/>
      <c r="EL94" s="311"/>
      <c r="EM94" s="311"/>
      <c r="EN94" s="311"/>
      <c r="EO94" s="311"/>
      <c r="EP94" s="311"/>
      <c r="EQ94" s="311"/>
      <c r="ER94" s="311"/>
      <c r="ES94" s="311"/>
      <c r="ET94" s="311"/>
      <c r="EU94" s="311"/>
      <c r="EV94" s="311"/>
      <c r="EW94" s="311"/>
      <c r="EX94" s="311"/>
      <c r="EY94" s="311"/>
      <c r="EZ94" s="311"/>
      <c r="FA94" s="311"/>
      <c r="FB94" s="311"/>
      <c r="FC94" s="311"/>
    </row>
    <row r="95" spans="1:159" s="549" customFormat="1" ht="117" customHeight="1">
      <c r="A95" s="311"/>
      <c r="B95" s="887"/>
      <c r="C95" s="516" t="s">
        <v>1143</v>
      </c>
      <c r="D95" s="887"/>
      <c r="E95" s="887"/>
      <c r="F95" s="889"/>
      <c r="G95" s="518">
        <v>4</v>
      </c>
      <c r="H95" s="519" t="s">
        <v>1165</v>
      </c>
      <c r="I95" s="520">
        <v>1</v>
      </c>
      <c r="J95" s="598" t="s">
        <v>989</v>
      </c>
      <c r="K95" s="594" t="s">
        <v>960</v>
      </c>
      <c r="L95" s="602" t="s">
        <v>1054</v>
      </c>
      <c r="M95" s="602">
        <v>0</v>
      </c>
      <c r="N95" s="495">
        <v>0.1</v>
      </c>
      <c r="O95" s="495">
        <v>0.25</v>
      </c>
      <c r="P95" s="495">
        <v>0.75</v>
      </c>
      <c r="Q95" s="630">
        <v>1</v>
      </c>
      <c r="R95" s="714" t="s">
        <v>661</v>
      </c>
      <c r="S95" s="517" t="s">
        <v>1251</v>
      </c>
      <c r="T95" s="502"/>
      <c r="U95" s="311"/>
      <c r="V95" s="311"/>
      <c r="W95" s="311"/>
      <c r="X95" s="311"/>
      <c r="Y95" s="311"/>
      <c r="Z95" s="311"/>
      <c r="AA95" s="311"/>
      <c r="AB95" s="311"/>
      <c r="AC95" s="311"/>
      <c r="AD95" s="311"/>
      <c r="AE95" s="311"/>
      <c r="AF95" s="311"/>
      <c r="AG95" s="311"/>
      <c r="AH95" s="311"/>
      <c r="AI95" s="311"/>
      <c r="AJ95" s="311"/>
      <c r="AK95" s="311"/>
      <c r="AL95" s="311"/>
      <c r="AM95" s="311"/>
      <c r="AN95" s="311"/>
      <c r="AO95" s="311"/>
      <c r="AP95" s="311"/>
      <c r="AQ95" s="311"/>
      <c r="AR95" s="311"/>
      <c r="AS95" s="311"/>
      <c r="AT95" s="311"/>
      <c r="AU95" s="311"/>
      <c r="AV95" s="311"/>
      <c r="AW95" s="311"/>
      <c r="AX95" s="311"/>
      <c r="AY95" s="311"/>
      <c r="AZ95" s="311"/>
      <c r="BA95" s="311"/>
      <c r="BB95" s="311"/>
      <c r="BC95" s="311"/>
      <c r="BD95" s="311"/>
      <c r="BE95" s="311"/>
      <c r="BF95" s="311"/>
      <c r="BG95" s="311"/>
      <c r="BH95" s="311"/>
      <c r="BI95" s="311"/>
      <c r="BJ95" s="311"/>
      <c r="BK95" s="311"/>
      <c r="BL95" s="311"/>
      <c r="BM95" s="311"/>
      <c r="BN95" s="311"/>
      <c r="BO95" s="311"/>
      <c r="BP95" s="311"/>
      <c r="BQ95" s="311"/>
      <c r="BR95" s="311"/>
      <c r="BS95" s="311"/>
      <c r="BT95" s="311"/>
      <c r="BU95" s="311"/>
      <c r="BV95" s="311"/>
      <c r="BW95" s="311"/>
      <c r="BX95" s="311"/>
      <c r="BY95" s="311"/>
      <c r="BZ95" s="311"/>
      <c r="CA95" s="311"/>
      <c r="CB95" s="311"/>
      <c r="CC95" s="311"/>
      <c r="CD95" s="311"/>
      <c r="CE95" s="311"/>
      <c r="CF95" s="311"/>
      <c r="CG95" s="311"/>
      <c r="CH95" s="311"/>
      <c r="CI95" s="311"/>
      <c r="CJ95" s="311"/>
      <c r="CK95" s="311"/>
      <c r="CL95" s="311"/>
      <c r="CM95" s="311"/>
      <c r="CN95" s="311"/>
      <c r="CO95" s="311"/>
      <c r="CP95" s="311"/>
      <c r="CQ95" s="311"/>
      <c r="CR95" s="311"/>
      <c r="CS95" s="311"/>
      <c r="CT95" s="311"/>
      <c r="CU95" s="311"/>
      <c r="CV95" s="311"/>
      <c r="CW95" s="311"/>
      <c r="CX95" s="311"/>
      <c r="CY95" s="311"/>
      <c r="CZ95" s="311"/>
      <c r="DA95" s="311"/>
      <c r="DB95" s="311"/>
      <c r="DC95" s="311"/>
      <c r="DD95" s="311"/>
      <c r="DE95" s="311"/>
      <c r="DF95" s="311"/>
      <c r="DG95" s="311"/>
      <c r="DH95" s="311"/>
      <c r="DI95" s="311"/>
      <c r="DJ95" s="311"/>
      <c r="DK95" s="311"/>
      <c r="DL95" s="311"/>
      <c r="DM95" s="311"/>
      <c r="DN95" s="311"/>
      <c r="DO95" s="311"/>
      <c r="DP95" s="311"/>
      <c r="DQ95" s="311"/>
      <c r="DR95" s="311"/>
      <c r="DS95" s="311"/>
      <c r="DT95" s="311"/>
      <c r="DU95" s="311"/>
      <c r="DV95" s="311"/>
      <c r="DW95" s="311"/>
      <c r="DX95" s="311"/>
      <c r="DY95" s="311"/>
      <c r="DZ95" s="311"/>
      <c r="EA95" s="311"/>
      <c r="EB95" s="311"/>
      <c r="EC95" s="311"/>
      <c r="ED95" s="311"/>
      <c r="EE95" s="311"/>
      <c r="EF95" s="311"/>
      <c r="EG95" s="311"/>
      <c r="EH95" s="311"/>
      <c r="EI95" s="311"/>
      <c r="EJ95" s="311"/>
      <c r="EK95" s="311"/>
      <c r="EL95" s="311"/>
      <c r="EM95" s="311"/>
      <c r="EN95" s="311"/>
      <c r="EO95" s="311"/>
      <c r="EP95" s="311"/>
      <c r="EQ95" s="311"/>
      <c r="ER95" s="311"/>
      <c r="ES95" s="311"/>
      <c r="ET95" s="311"/>
      <c r="EU95" s="311"/>
      <c r="EV95" s="311"/>
      <c r="EW95" s="311"/>
      <c r="EX95" s="311"/>
      <c r="EY95" s="311"/>
      <c r="EZ95" s="311"/>
      <c r="FA95" s="311"/>
      <c r="FB95" s="311"/>
      <c r="FC95" s="311"/>
    </row>
    <row r="96" spans="1:159" s="311" customFormat="1" ht="70.5" customHeight="1">
      <c r="B96" s="920" t="s">
        <v>1395</v>
      </c>
      <c r="C96" s="697" t="s">
        <v>876</v>
      </c>
      <c r="D96" s="920" t="s">
        <v>273</v>
      </c>
      <c r="E96" s="920" t="s">
        <v>648</v>
      </c>
      <c r="F96" s="925" t="s">
        <v>968</v>
      </c>
      <c r="G96" s="344">
        <v>1</v>
      </c>
      <c r="H96" s="345" t="s">
        <v>970</v>
      </c>
      <c r="I96" s="344">
        <v>2</v>
      </c>
      <c r="J96" s="345" t="s">
        <v>969</v>
      </c>
      <c r="K96" s="344" t="s">
        <v>772</v>
      </c>
      <c r="L96" s="344" t="s">
        <v>1055</v>
      </c>
      <c r="M96" s="344">
        <v>0</v>
      </c>
      <c r="N96" s="444">
        <v>1</v>
      </c>
      <c r="O96" s="444">
        <v>0</v>
      </c>
      <c r="P96" s="444">
        <v>0</v>
      </c>
      <c r="Q96" s="459">
        <v>1</v>
      </c>
      <c r="R96" s="697" t="s">
        <v>402</v>
      </c>
      <c r="S96" s="459" t="s">
        <v>1252</v>
      </c>
      <c r="T96" s="485"/>
    </row>
    <row r="97" spans="1:159" s="311" customFormat="1" ht="54" customHeight="1">
      <c r="B97" s="924"/>
      <c r="C97" s="697" t="s">
        <v>876</v>
      </c>
      <c r="D97" s="924"/>
      <c r="E97" s="924"/>
      <c r="F97" s="926"/>
      <c r="G97" s="599">
        <v>2</v>
      </c>
      <c r="H97" s="595" t="s">
        <v>971</v>
      </c>
      <c r="I97" s="599">
        <v>2</v>
      </c>
      <c r="J97" s="595" t="s">
        <v>1253</v>
      </c>
      <c r="K97" s="599" t="s">
        <v>772</v>
      </c>
      <c r="L97" s="344" t="s">
        <v>1055</v>
      </c>
      <c r="M97" s="344">
        <v>0</v>
      </c>
      <c r="N97" s="444">
        <v>0</v>
      </c>
      <c r="O97" s="444">
        <v>1</v>
      </c>
      <c r="P97" s="486">
        <v>0</v>
      </c>
      <c r="Q97" s="459">
        <v>1</v>
      </c>
      <c r="R97" s="697" t="s">
        <v>959</v>
      </c>
      <c r="S97" s="459" t="s">
        <v>584</v>
      </c>
      <c r="T97" s="485"/>
    </row>
    <row r="98" spans="1:159" s="311" customFormat="1" ht="57" customHeight="1">
      <c r="B98" s="924"/>
      <c r="C98" s="697" t="s">
        <v>876</v>
      </c>
      <c r="D98" s="924"/>
      <c r="E98" s="924"/>
      <c r="F98" s="926"/>
      <c r="G98" s="344">
        <v>3</v>
      </c>
      <c r="H98" s="345" t="s">
        <v>1085</v>
      </c>
      <c r="I98" s="344">
        <v>2</v>
      </c>
      <c r="J98" s="595" t="s">
        <v>973</v>
      </c>
      <c r="K98" s="599" t="s">
        <v>772</v>
      </c>
      <c r="L98" s="344" t="s">
        <v>1055</v>
      </c>
      <c r="M98" s="599">
        <v>0</v>
      </c>
      <c r="N98" s="441">
        <v>1</v>
      </c>
      <c r="O98" s="441">
        <v>0</v>
      </c>
      <c r="P98" s="441">
        <v>0</v>
      </c>
      <c r="Q98" s="697">
        <v>1</v>
      </c>
      <c r="R98" s="697" t="s">
        <v>402</v>
      </c>
      <c r="S98" s="459"/>
      <c r="T98" s="485"/>
    </row>
    <row r="99" spans="1:159" s="549" customFormat="1" ht="63.95" customHeight="1">
      <c r="A99" s="311"/>
      <c r="B99" s="886" t="s">
        <v>755</v>
      </c>
      <c r="C99" s="516" t="s">
        <v>876</v>
      </c>
      <c r="D99" s="886" t="s">
        <v>273</v>
      </c>
      <c r="E99" s="886" t="s">
        <v>649</v>
      </c>
      <c r="F99" s="888" t="s">
        <v>975</v>
      </c>
      <c r="G99" s="602">
        <v>1</v>
      </c>
      <c r="H99" s="552" t="s">
        <v>978</v>
      </c>
      <c r="I99" s="602">
        <v>2</v>
      </c>
      <c r="J99" s="409" t="s">
        <v>976</v>
      </c>
      <c r="K99" s="602" t="s">
        <v>793</v>
      </c>
      <c r="L99" s="602" t="s">
        <v>1055</v>
      </c>
      <c r="M99" s="409" t="s">
        <v>1093</v>
      </c>
      <c r="N99" s="602">
        <v>1</v>
      </c>
      <c r="O99" s="602">
        <v>1</v>
      </c>
      <c r="P99" s="602">
        <v>0</v>
      </c>
      <c r="Q99" s="517">
        <v>0</v>
      </c>
      <c r="R99" s="517" t="s">
        <v>977</v>
      </c>
      <c r="S99" s="517" t="s">
        <v>1254</v>
      </c>
      <c r="T99" s="553"/>
      <c r="U99" s="311"/>
      <c r="V99" s="311"/>
      <c r="W99" s="311"/>
      <c r="X99" s="311"/>
      <c r="Y99" s="311"/>
      <c r="Z99" s="311"/>
      <c r="AA99" s="311"/>
      <c r="AB99" s="311"/>
      <c r="AC99" s="311"/>
      <c r="AD99" s="311"/>
      <c r="AE99" s="311"/>
      <c r="AF99" s="311"/>
      <c r="AG99" s="311"/>
      <c r="AH99" s="311"/>
      <c r="AI99" s="311"/>
      <c r="AJ99" s="311"/>
      <c r="AK99" s="311"/>
      <c r="AL99" s="311"/>
      <c r="AM99" s="311"/>
      <c r="AN99" s="311"/>
      <c r="AO99" s="311"/>
      <c r="AP99" s="311"/>
      <c r="AQ99" s="311"/>
      <c r="AR99" s="311"/>
      <c r="AS99" s="311"/>
      <c r="AT99" s="311"/>
      <c r="AU99" s="311"/>
      <c r="AV99" s="311"/>
      <c r="AW99" s="311"/>
      <c r="AX99" s="311"/>
      <c r="AY99" s="311"/>
      <c r="AZ99" s="311"/>
      <c r="BA99" s="311"/>
      <c r="BB99" s="311"/>
      <c r="BC99" s="311"/>
      <c r="BD99" s="311"/>
      <c r="BE99" s="311"/>
      <c r="BF99" s="311"/>
      <c r="BG99" s="311"/>
      <c r="BH99" s="311"/>
      <c r="BI99" s="311"/>
      <c r="BJ99" s="311"/>
      <c r="BK99" s="311"/>
      <c r="BL99" s="311"/>
      <c r="BM99" s="311"/>
      <c r="BN99" s="311"/>
      <c r="BO99" s="311"/>
      <c r="BP99" s="311"/>
      <c r="BQ99" s="311"/>
      <c r="BR99" s="311"/>
      <c r="BS99" s="311"/>
      <c r="BT99" s="311"/>
      <c r="BU99" s="311"/>
      <c r="BV99" s="311"/>
      <c r="BW99" s="311"/>
      <c r="BX99" s="311"/>
      <c r="BY99" s="311"/>
      <c r="BZ99" s="311"/>
      <c r="CA99" s="311"/>
      <c r="CB99" s="311"/>
      <c r="CC99" s="311"/>
      <c r="CD99" s="311"/>
      <c r="CE99" s="311"/>
      <c r="CF99" s="311"/>
      <c r="CG99" s="311"/>
      <c r="CH99" s="311"/>
      <c r="CI99" s="311"/>
      <c r="CJ99" s="311"/>
      <c r="CK99" s="311"/>
      <c r="CL99" s="311"/>
      <c r="CM99" s="311"/>
      <c r="CN99" s="311"/>
      <c r="CO99" s="311"/>
      <c r="CP99" s="311"/>
      <c r="CQ99" s="311"/>
      <c r="CR99" s="311"/>
      <c r="CS99" s="311"/>
      <c r="CT99" s="311"/>
      <c r="CU99" s="311"/>
      <c r="CV99" s="311"/>
      <c r="CW99" s="311"/>
      <c r="CX99" s="311"/>
      <c r="CY99" s="311"/>
      <c r="CZ99" s="311"/>
      <c r="DA99" s="311"/>
      <c r="DB99" s="311"/>
      <c r="DC99" s="311"/>
      <c r="DD99" s="311"/>
      <c r="DE99" s="311"/>
      <c r="DF99" s="311"/>
      <c r="DG99" s="311"/>
      <c r="DH99" s="311"/>
      <c r="DI99" s="311"/>
      <c r="DJ99" s="311"/>
      <c r="DK99" s="311"/>
      <c r="DL99" s="311"/>
      <c r="DM99" s="311"/>
      <c r="DN99" s="311"/>
      <c r="DO99" s="311"/>
      <c r="DP99" s="311"/>
      <c r="DQ99" s="311"/>
      <c r="DR99" s="311"/>
      <c r="DS99" s="311"/>
      <c r="DT99" s="311"/>
      <c r="DU99" s="311"/>
      <c r="DV99" s="311"/>
      <c r="DW99" s="311"/>
      <c r="DX99" s="311"/>
      <c r="DY99" s="311"/>
      <c r="DZ99" s="311"/>
      <c r="EA99" s="311"/>
      <c r="EB99" s="311"/>
      <c r="EC99" s="311"/>
      <c r="ED99" s="311"/>
      <c r="EE99" s="311"/>
      <c r="EF99" s="311"/>
      <c r="EG99" s="311"/>
      <c r="EH99" s="311"/>
      <c r="EI99" s="311"/>
      <c r="EJ99" s="311"/>
      <c r="EK99" s="311"/>
      <c r="EL99" s="311"/>
      <c r="EM99" s="311"/>
      <c r="EN99" s="311"/>
      <c r="EO99" s="311"/>
      <c r="EP99" s="311"/>
      <c r="EQ99" s="311"/>
      <c r="ER99" s="311"/>
      <c r="ES99" s="311"/>
      <c r="ET99" s="311"/>
      <c r="EU99" s="311"/>
      <c r="EV99" s="311"/>
      <c r="EW99" s="311"/>
      <c r="EX99" s="311"/>
      <c r="EY99" s="311"/>
      <c r="EZ99" s="311"/>
      <c r="FA99" s="311"/>
      <c r="FB99" s="311"/>
      <c r="FC99" s="311"/>
    </row>
    <row r="100" spans="1:159" s="549" customFormat="1" ht="51.75" customHeight="1">
      <c r="A100" s="311"/>
      <c r="B100" s="904"/>
      <c r="C100" s="516" t="s">
        <v>876</v>
      </c>
      <c r="D100" s="904"/>
      <c r="E100" s="904"/>
      <c r="F100" s="908"/>
      <c r="G100" s="602">
        <v>2</v>
      </c>
      <c r="H100" s="606" t="s">
        <v>979</v>
      </c>
      <c r="I100" s="602">
        <v>2</v>
      </c>
      <c r="J100" s="409" t="s">
        <v>972</v>
      </c>
      <c r="K100" s="602" t="s">
        <v>772</v>
      </c>
      <c r="L100" s="602" t="s">
        <v>1055</v>
      </c>
      <c r="M100" s="602">
        <v>0</v>
      </c>
      <c r="N100" s="496">
        <v>0</v>
      </c>
      <c r="O100" s="496">
        <v>0</v>
      </c>
      <c r="P100" s="496">
        <v>0</v>
      </c>
      <c r="Q100" s="517">
        <v>2</v>
      </c>
      <c r="R100" s="517" t="s">
        <v>402</v>
      </c>
      <c r="S100" s="517"/>
      <c r="T100" s="553"/>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311"/>
      <c r="AP100" s="311"/>
      <c r="AQ100" s="311"/>
      <c r="AR100" s="311"/>
      <c r="AS100" s="311"/>
      <c r="AT100" s="311"/>
      <c r="AU100" s="311"/>
      <c r="AV100" s="311"/>
      <c r="AW100" s="311"/>
      <c r="AX100" s="311"/>
      <c r="AY100" s="311"/>
      <c r="AZ100" s="311"/>
      <c r="BA100" s="311"/>
      <c r="BB100" s="311"/>
      <c r="BC100" s="311"/>
      <c r="BD100" s="311"/>
      <c r="BE100" s="311"/>
      <c r="BF100" s="311"/>
      <c r="BG100" s="311"/>
      <c r="BH100" s="311"/>
      <c r="BI100" s="311"/>
      <c r="BJ100" s="311"/>
      <c r="BK100" s="311"/>
      <c r="BL100" s="311"/>
      <c r="BM100" s="311"/>
      <c r="BN100" s="311"/>
      <c r="BO100" s="311"/>
      <c r="BP100" s="311"/>
      <c r="BQ100" s="311"/>
      <c r="BR100" s="311"/>
      <c r="BS100" s="311"/>
      <c r="BT100" s="311"/>
      <c r="BU100" s="311"/>
      <c r="BV100" s="311"/>
      <c r="BW100" s="311"/>
      <c r="BX100" s="311"/>
      <c r="BY100" s="311"/>
      <c r="BZ100" s="311"/>
      <c r="CA100" s="311"/>
      <c r="CB100" s="311"/>
      <c r="CC100" s="311"/>
      <c r="CD100" s="311"/>
      <c r="CE100" s="311"/>
      <c r="CF100" s="311"/>
      <c r="CG100" s="311"/>
      <c r="CH100" s="311"/>
      <c r="CI100" s="311"/>
      <c r="CJ100" s="311"/>
      <c r="CK100" s="311"/>
      <c r="CL100" s="311"/>
      <c r="CM100" s="311"/>
      <c r="CN100" s="311"/>
      <c r="CO100" s="311"/>
      <c r="CP100" s="311"/>
      <c r="CQ100" s="311"/>
      <c r="CR100" s="311"/>
      <c r="CS100" s="311"/>
      <c r="CT100" s="311"/>
      <c r="CU100" s="311"/>
      <c r="CV100" s="311"/>
      <c r="CW100" s="311"/>
      <c r="CX100" s="311"/>
      <c r="CY100" s="311"/>
      <c r="CZ100" s="311"/>
      <c r="DA100" s="311"/>
      <c r="DB100" s="311"/>
      <c r="DC100" s="311"/>
      <c r="DD100" s="311"/>
      <c r="DE100" s="311"/>
      <c r="DF100" s="311"/>
      <c r="DG100" s="311"/>
      <c r="DH100" s="311"/>
      <c r="DI100" s="311"/>
      <c r="DJ100" s="311"/>
      <c r="DK100" s="311"/>
      <c r="DL100" s="311"/>
      <c r="DM100" s="311"/>
      <c r="DN100" s="311"/>
      <c r="DO100" s="311"/>
      <c r="DP100" s="311"/>
      <c r="DQ100" s="311"/>
      <c r="DR100" s="311"/>
      <c r="DS100" s="311"/>
      <c r="DT100" s="311"/>
      <c r="DU100" s="311"/>
      <c r="DV100" s="311"/>
      <c r="DW100" s="311"/>
      <c r="DX100" s="311"/>
      <c r="DY100" s="311"/>
      <c r="DZ100" s="311"/>
      <c r="EA100" s="311"/>
      <c r="EB100" s="311"/>
      <c r="EC100" s="311"/>
      <c r="ED100" s="311"/>
      <c r="EE100" s="311"/>
      <c r="EF100" s="311"/>
      <c r="EG100" s="311"/>
      <c r="EH100" s="311"/>
      <c r="EI100" s="311"/>
      <c r="EJ100" s="311"/>
      <c r="EK100" s="311"/>
      <c r="EL100" s="311"/>
      <c r="EM100" s="311"/>
      <c r="EN100" s="311"/>
      <c r="EO100" s="311"/>
      <c r="EP100" s="311"/>
      <c r="EQ100" s="311"/>
      <c r="ER100" s="311"/>
      <c r="ES100" s="311"/>
      <c r="ET100" s="311"/>
      <c r="EU100" s="311"/>
      <c r="EV100" s="311"/>
      <c r="EW100" s="311"/>
      <c r="EX100" s="311"/>
      <c r="EY100" s="311"/>
      <c r="EZ100" s="311"/>
      <c r="FA100" s="311"/>
      <c r="FB100" s="311"/>
      <c r="FC100" s="311"/>
    </row>
    <row r="101" spans="1:159" s="549" customFormat="1" ht="61.5" customHeight="1">
      <c r="A101" s="311"/>
      <c r="B101" s="904"/>
      <c r="C101" s="516" t="s">
        <v>876</v>
      </c>
      <c r="D101" s="904"/>
      <c r="E101" s="904"/>
      <c r="F101" s="908"/>
      <c r="G101" s="622">
        <v>3</v>
      </c>
      <c r="H101" s="606" t="s">
        <v>980</v>
      </c>
      <c r="I101" s="604">
        <v>2</v>
      </c>
      <c r="J101" s="409" t="s">
        <v>973</v>
      </c>
      <c r="K101" s="602" t="s">
        <v>772</v>
      </c>
      <c r="L101" s="602" t="s">
        <v>1055</v>
      </c>
      <c r="M101" s="602">
        <v>0</v>
      </c>
      <c r="N101" s="496">
        <v>0</v>
      </c>
      <c r="O101" s="496">
        <v>0</v>
      </c>
      <c r="P101" s="496">
        <v>0</v>
      </c>
      <c r="Q101" s="517">
        <v>2</v>
      </c>
      <c r="R101" s="517" t="s">
        <v>402</v>
      </c>
      <c r="S101" s="517"/>
      <c r="T101" s="553"/>
      <c r="U101" s="311"/>
      <c r="V101" s="311"/>
      <c r="W101" s="311"/>
      <c r="X101" s="311"/>
      <c r="Y101" s="311"/>
      <c r="Z101" s="311"/>
      <c r="AA101" s="311"/>
      <c r="AB101" s="311"/>
      <c r="AC101" s="311"/>
      <c r="AD101" s="311"/>
      <c r="AE101" s="311"/>
      <c r="AF101" s="311"/>
      <c r="AG101" s="311"/>
      <c r="AH101" s="311"/>
      <c r="AI101" s="311"/>
      <c r="AJ101" s="311"/>
      <c r="AK101" s="311"/>
      <c r="AL101" s="311"/>
      <c r="AM101" s="311"/>
      <c r="AN101" s="311"/>
      <c r="AO101" s="311"/>
      <c r="AP101" s="311"/>
      <c r="AQ101" s="311"/>
      <c r="AR101" s="311"/>
      <c r="AS101" s="311"/>
      <c r="AT101" s="311"/>
      <c r="AU101" s="311"/>
      <c r="AV101" s="311"/>
      <c r="AW101" s="311"/>
      <c r="AX101" s="311"/>
      <c r="AY101" s="311"/>
      <c r="AZ101" s="311"/>
      <c r="BA101" s="311"/>
      <c r="BB101" s="311"/>
      <c r="BC101" s="311"/>
      <c r="BD101" s="311"/>
      <c r="BE101" s="311"/>
      <c r="BF101" s="311"/>
      <c r="BG101" s="311"/>
      <c r="BH101" s="311"/>
      <c r="BI101" s="311"/>
      <c r="BJ101" s="311"/>
      <c r="BK101" s="311"/>
      <c r="BL101" s="311"/>
      <c r="BM101" s="311"/>
      <c r="BN101" s="311"/>
      <c r="BO101" s="311"/>
      <c r="BP101" s="311"/>
      <c r="BQ101" s="311"/>
      <c r="BR101" s="311"/>
      <c r="BS101" s="311"/>
      <c r="BT101" s="311"/>
      <c r="BU101" s="311"/>
      <c r="BV101" s="311"/>
      <c r="BW101" s="311"/>
      <c r="BX101" s="311"/>
      <c r="BY101" s="311"/>
      <c r="BZ101" s="311"/>
      <c r="CA101" s="311"/>
      <c r="CB101" s="311"/>
      <c r="CC101" s="311"/>
      <c r="CD101" s="311"/>
      <c r="CE101" s="311"/>
      <c r="CF101" s="311"/>
      <c r="CG101" s="311"/>
      <c r="CH101" s="311"/>
      <c r="CI101" s="311"/>
      <c r="CJ101" s="311"/>
      <c r="CK101" s="311"/>
      <c r="CL101" s="311"/>
      <c r="CM101" s="311"/>
      <c r="CN101" s="311"/>
      <c r="CO101" s="311"/>
      <c r="CP101" s="311"/>
      <c r="CQ101" s="311"/>
      <c r="CR101" s="311"/>
      <c r="CS101" s="311"/>
      <c r="CT101" s="311"/>
      <c r="CU101" s="311"/>
      <c r="CV101" s="311"/>
      <c r="CW101" s="311"/>
      <c r="CX101" s="311"/>
      <c r="CY101" s="311"/>
      <c r="CZ101" s="311"/>
      <c r="DA101" s="311"/>
      <c r="DB101" s="311"/>
      <c r="DC101" s="311"/>
      <c r="DD101" s="311"/>
      <c r="DE101" s="311"/>
      <c r="DF101" s="311"/>
      <c r="DG101" s="311"/>
      <c r="DH101" s="311"/>
      <c r="DI101" s="311"/>
      <c r="DJ101" s="311"/>
      <c r="DK101" s="311"/>
      <c r="DL101" s="311"/>
      <c r="DM101" s="311"/>
      <c r="DN101" s="311"/>
      <c r="DO101" s="311"/>
      <c r="DP101" s="311"/>
      <c r="DQ101" s="311"/>
      <c r="DR101" s="311"/>
      <c r="DS101" s="311"/>
      <c r="DT101" s="311"/>
      <c r="DU101" s="311"/>
      <c r="DV101" s="311"/>
      <c r="DW101" s="311"/>
      <c r="DX101" s="311"/>
      <c r="DY101" s="311"/>
      <c r="DZ101" s="311"/>
      <c r="EA101" s="311"/>
      <c r="EB101" s="311"/>
      <c r="EC101" s="311"/>
      <c r="ED101" s="311"/>
      <c r="EE101" s="311"/>
      <c r="EF101" s="311"/>
      <c r="EG101" s="311"/>
      <c r="EH101" s="311"/>
      <c r="EI101" s="311"/>
      <c r="EJ101" s="311"/>
      <c r="EK101" s="311"/>
      <c r="EL101" s="311"/>
      <c r="EM101" s="311"/>
      <c r="EN101" s="311"/>
      <c r="EO101" s="311"/>
      <c r="EP101" s="311"/>
      <c r="EQ101" s="311"/>
      <c r="ER101" s="311"/>
      <c r="ES101" s="311"/>
      <c r="ET101" s="311"/>
      <c r="EU101" s="311"/>
      <c r="EV101" s="311"/>
      <c r="EW101" s="311"/>
      <c r="EX101" s="311"/>
      <c r="EY101" s="311"/>
      <c r="EZ101" s="311"/>
      <c r="FA101" s="311"/>
      <c r="FB101" s="311"/>
      <c r="FC101" s="311"/>
    </row>
    <row r="102" spans="1:159" s="204" customFormat="1" ht="86.25" customHeight="1">
      <c r="B102" s="920" t="s">
        <v>1394</v>
      </c>
      <c r="C102" s="459" t="s">
        <v>877</v>
      </c>
      <c r="D102" s="920" t="s">
        <v>273</v>
      </c>
      <c r="E102" s="920" t="s">
        <v>650</v>
      </c>
      <c r="F102" s="933" t="s">
        <v>974</v>
      </c>
      <c r="G102" s="447">
        <v>1</v>
      </c>
      <c r="H102" s="487" t="s">
        <v>1158</v>
      </c>
      <c r="I102" s="461">
        <v>1</v>
      </c>
      <c r="J102" s="462" t="s">
        <v>1319</v>
      </c>
      <c r="K102" s="463" t="s">
        <v>526</v>
      </c>
      <c r="L102" s="344" t="s">
        <v>1058</v>
      </c>
      <c r="M102" s="463" t="s">
        <v>522</v>
      </c>
      <c r="N102" s="461">
        <v>1</v>
      </c>
      <c r="O102" s="461">
        <v>1</v>
      </c>
      <c r="P102" s="461">
        <v>1</v>
      </c>
      <c r="Q102" s="464">
        <f>I102</f>
        <v>1</v>
      </c>
      <c r="R102" s="465" t="s">
        <v>1052</v>
      </c>
      <c r="S102" s="488" t="s">
        <v>1120</v>
      </c>
      <c r="T102" s="450" t="s">
        <v>1320</v>
      </c>
    </row>
    <row r="103" spans="1:159" s="204" customFormat="1" ht="101.25" customHeight="1">
      <c r="B103" s="921"/>
      <c r="C103" s="459" t="s">
        <v>881</v>
      </c>
      <c r="D103" s="921"/>
      <c r="E103" s="921"/>
      <c r="F103" s="935"/>
      <c r="G103" s="344">
        <v>2</v>
      </c>
      <c r="H103" s="453" t="s">
        <v>659</v>
      </c>
      <c r="I103" s="461">
        <v>1</v>
      </c>
      <c r="J103" s="462" t="s">
        <v>1166</v>
      </c>
      <c r="K103" s="344" t="s">
        <v>526</v>
      </c>
      <c r="L103" s="344" t="s">
        <v>1058</v>
      </c>
      <c r="M103" s="463" t="s">
        <v>1118</v>
      </c>
      <c r="N103" s="461">
        <v>1</v>
      </c>
      <c r="O103" s="461">
        <v>1</v>
      </c>
      <c r="P103" s="461">
        <v>1</v>
      </c>
      <c r="Q103" s="461">
        <v>1</v>
      </c>
      <c r="R103" s="465" t="s">
        <v>660</v>
      </c>
      <c r="S103" s="465" t="s">
        <v>528</v>
      </c>
      <c r="T103" s="489" t="s">
        <v>1321</v>
      </c>
    </row>
    <row r="104" spans="1:159" s="549" customFormat="1" ht="69" customHeight="1">
      <c r="A104" s="311"/>
      <c r="B104" s="517" t="s">
        <v>755</v>
      </c>
      <c r="C104" s="517" t="s">
        <v>1142</v>
      </c>
      <c r="D104" s="517" t="s">
        <v>273</v>
      </c>
      <c r="E104" s="517" t="s">
        <v>651</v>
      </c>
      <c r="F104" s="519" t="s">
        <v>658</v>
      </c>
      <c r="G104" s="602">
        <v>1</v>
      </c>
      <c r="H104" s="409" t="s">
        <v>796</v>
      </c>
      <c r="I104" s="495">
        <v>0.71</v>
      </c>
      <c r="J104" s="409" t="s">
        <v>797</v>
      </c>
      <c r="K104" s="602" t="s">
        <v>526</v>
      </c>
      <c r="L104" s="602" t="s">
        <v>1054</v>
      </c>
      <c r="M104" s="495">
        <v>0</v>
      </c>
      <c r="N104" s="501">
        <v>0.04</v>
      </c>
      <c r="O104" s="501">
        <v>0.18</v>
      </c>
      <c r="P104" s="501">
        <v>0.5</v>
      </c>
      <c r="Q104" s="508">
        <f>I104</f>
        <v>0.71</v>
      </c>
      <c r="R104" s="517" t="s">
        <v>661</v>
      </c>
      <c r="S104" s="517" t="s">
        <v>1255</v>
      </c>
      <c r="T104" s="502"/>
      <c r="U104" s="311"/>
      <c r="V104" s="311"/>
      <c r="W104" s="311"/>
      <c r="X104" s="311"/>
      <c r="Y104" s="311"/>
      <c r="Z104" s="311"/>
      <c r="AA104" s="311"/>
      <c r="AB104" s="311"/>
      <c r="AC104" s="311"/>
      <c r="AD104" s="311"/>
      <c r="AE104" s="311"/>
      <c r="AF104" s="311"/>
      <c r="AG104" s="311"/>
      <c r="AH104" s="311"/>
      <c r="AI104" s="311"/>
      <c r="AJ104" s="311"/>
      <c r="AK104" s="311"/>
      <c r="AL104" s="311"/>
      <c r="AM104" s="311"/>
      <c r="AN104" s="311"/>
      <c r="AO104" s="311"/>
      <c r="AP104" s="311"/>
      <c r="AQ104" s="311"/>
      <c r="AR104" s="311"/>
      <c r="AS104" s="311"/>
      <c r="AT104" s="311"/>
      <c r="AU104" s="311"/>
      <c r="AV104" s="311"/>
      <c r="AW104" s="311"/>
      <c r="AX104" s="311"/>
      <c r="AY104" s="311"/>
      <c r="AZ104" s="311"/>
      <c r="BA104" s="311"/>
      <c r="BB104" s="311"/>
      <c r="BC104" s="311"/>
      <c r="BD104" s="311"/>
      <c r="BE104" s="311"/>
      <c r="BF104" s="311"/>
      <c r="BG104" s="311"/>
      <c r="BH104" s="311"/>
      <c r="BI104" s="311"/>
      <c r="BJ104" s="311"/>
      <c r="BK104" s="311"/>
      <c r="BL104" s="311"/>
      <c r="BM104" s="311"/>
      <c r="BN104" s="311"/>
      <c r="BO104" s="311"/>
      <c r="BP104" s="311"/>
      <c r="BQ104" s="311"/>
      <c r="BR104" s="311"/>
      <c r="BS104" s="311"/>
      <c r="BT104" s="311"/>
      <c r="BU104" s="311"/>
      <c r="BV104" s="311"/>
      <c r="BW104" s="311"/>
      <c r="BX104" s="311"/>
      <c r="BY104" s="311"/>
      <c r="BZ104" s="311"/>
      <c r="CA104" s="311"/>
      <c r="CB104" s="311"/>
      <c r="CC104" s="311"/>
      <c r="CD104" s="311"/>
      <c r="CE104" s="311"/>
      <c r="CF104" s="311"/>
      <c r="CG104" s="311"/>
      <c r="CH104" s="311"/>
      <c r="CI104" s="311"/>
      <c r="CJ104" s="311"/>
      <c r="CK104" s="311"/>
      <c r="CL104" s="311"/>
      <c r="CM104" s="311"/>
      <c r="CN104" s="311"/>
      <c r="CO104" s="311"/>
      <c r="CP104" s="311"/>
      <c r="CQ104" s="311"/>
      <c r="CR104" s="311"/>
      <c r="CS104" s="311"/>
      <c r="CT104" s="311"/>
      <c r="CU104" s="311"/>
      <c r="CV104" s="311"/>
      <c r="CW104" s="311"/>
      <c r="CX104" s="311"/>
      <c r="CY104" s="311"/>
      <c r="CZ104" s="311"/>
      <c r="DA104" s="311"/>
      <c r="DB104" s="311"/>
      <c r="DC104" s="311"/>
      <c r="DD104" s="311"/>
      <c r="DE104" s="311"/>
      <c r="DF104" s="311"/>
      <c r="DG104" s="311"/>
      <c r="DH104" s="311"/>
      <c r="DI104" s="311"/>
      <c r="DJ104" s="311"/>
      <c r="DK104" s="311"/>
      <c r="DL104" s="311"/>
      <c r="DM104" s="311"/>
      <c r="DN104" s="311"/>
      <c r="DO104" s="311"/>
      <c r="DP104" s="311"/>
      <c r="DQ104" s="311"/>
      <c r="DR104" s="311"/>
      <c r="DS104" s="311"/>
      <c r="DT104" s="311"/>
      <c r="DU104" s="311"/>
      <c r="DV104" s="311"/>
      <c r="DW104" s="311"/>
      <c r="DX104" s="311"/>
      <c r="DY104" s="311"/>
      <c r="DZ104" s="311"/>
      <c r="EA104" s="311"/>
      <c r="EB104" s="311"/>
      <c r="EC104" s="311"/>
      <c r="ED104" s="311"/>
      <c r="EE104" s="311"/>
      <c r="EF104" s="311"/>
      <c r="EG104" s="311"/>
      <c r="EH104" s="311"/>
      <c r="EI104" s="311"/>
      <c r="EJ104" s="311"/>
      <c r="EK104" s="311"/>
      <c r="EL104" s="311"/>
      <c r="EM104" s="311"/>
      <c r="EN104" s="311"/>
      <c r="EO104" s="311"/>
      <c r="EP104" s="311"/>
      <c r="EQ104" s="311"/>
      <c r="ER104" s="311"/>
      <c r="ES104" s="311"/>
      <c r="ET104" s="311"/>
      <c r="EU104" s="311"/>
      <c r="EV104" s="311"/>
      <c r="EW104" s="311"/>
      <c r="EX104" s="311"/>
      <c r="EY104" s="311"/>
      <c r="EZ104" s="311"/>
      <c r="FA104" s="311"/>
      <c r="FB104" s="311"/>
      <c r="FC104" s="311"/>
    </row>
    <row r="105" spans="1:159" s="204" customFormat="1" ht="80.099999999999994" customHeight="1">
      <c r="B105" s="920" t="s">
        <v>1396</v>
      </c>
      <c r="C105" s="920" t="s">
        <v>861</v>
      </c>
      <c r="D105" s="920" t="s">
        <v>574</v>
      </c>
      <c r="E105" s="920" t="s">
        <v>652</v>
      </c>
      <c r="F105" s="925" t="s">
        <v>709</v>
      </c>
      <c r="G105" s="937">
        <v>1</v>
      </c>
      <c r="H105" s="942" t="s">
        <v>1397</v>
      </c>
      <c r="I105" s="442">
        <v>1</v>
      </c>
      <c r="J105" s="345" t="s">
        <v>1009</v>
      </c>
      <c r="K105" s="344" t="s">
        <v>526</v>
      </c>
      <c r="L105" s="344" t="s">
        <v>1054</v>
      </c>
      <c r="M105" s="442" t="s">
        <v>1010</v>
      </c>
      <c r="N105" s="442" t="s">
        <v>1087</v>
      </c>
      <c r="O105" s="344" t="s">
        <v>330</v>
      </c>
      <c r="P105" s="344" t="s">
        <v>330</v>
      </c>
      <c r="Q105" s="344" t="s">
        <v>330</v>
      </c>
      <c r="R105" s="459" t="s">
        <v>1059</v>
      </c>
      <c r="S105" s="459"/>
      <c r="T105" s="952"/>
    </row>
    <row r="106" spans="1:159" s="204" customFormat="1" ht="83.25" customHeight="1">
      <c r="B106" s="924"/>
      <c r="C106" s="924"/>
      <c r="D106" s="924"/>
      <c r="E106" s="924"/>
      <c r="F106" s="926"/>
      <c r="G106" s="941"/>
      <c r="H106" s="943"/>
      <c r="I106" s="442">
        <v>1</v>
      </c>
      <c r="J106" s="345" t="s">
        <v>1011</v>
      </c>
      <c r="K106" s="344" t="s">
        <v>772</v>
      </c>
      <c r="L106" s="344" t="s">
        <v>1054</v>
      </c>
      <c r="M106" s="442">
        <v>0</v>
      </c>
      <c r="N106" s="442">
        <v>0</v>
      </c>
      <c r="O106" s="442">
        <v>0.25</v>
      </c>
      <c r="P106" s="442">
        <v>0.5</v>
      </c>
      <c r="Q106" s="711">
        <v>1</v>
      </c>
      <c r="R106" s="459" t="s">
        <v>1059</v>
      </c>
      <c r="S106" s="459"/>
      <c r="T106" s="952"/>
    </row>
    <row r="107" spans="1:159" s="204" customFormat="1" ht="51.75" customHeight="1">
      <c r="B107" s="924"/>
      <c r="C107" s="924"/>
      <c r="D107" s="924"/>
      <c r="E107" s="924"/>
      <c r="F107" s="926"/>
      <c r="G107" s="941"/>
      <c r="H107" s="943"/>
      <c r="I107" s="477">
        <v>6</v>
      </c>
      <c r="J107" s="345" t="s">
        <v>1044</v>
      </c>
      <c r="K107" s="344" t="s">
        <v>772</v>
      </c>
      <c r="L107" s="344" t="s">
        <v>1055</v>
      </c>
      <c r="M107" s="477">
        <v>0</v>
      </c>
      <c r="N107" s="477">
        <v>0</v>
      </c>
      <c r="O107" s="477">
        <v>2</v>
      </c>
      <c r="P107" s="477">
        <v>2</v>
      </c>
      <c r="Q107" s="477">
        <v>2</v>
      </c>
      <c r="R107" s="459" t="s">
        <v>584</v>
      </c>
      <c r="S107" s="459" t="s">
        <v>950</v>
      </c>
      <c r="T107" s="952"/>
    </row>
    <row r="108" spans="1:159" s="204" customFormat="1" ht="51">
      <c r="B108" s="921"/>
      <c r="C108" s="921"/>
      <c r="D108" s="921"/>
      <c r="E108" s="921"/>
      <c r="F108" s="927"/>
      <c r="G108" s="938"/>
      <c r="H108" s="944"/>
      <c r="I108" s="490">
        <v>1</v>
      </c>
      <c r="J108" s="436" t="s">
        <v>1012</v>
      </c>
      <c r="K108" s="344" t="s">
        <v>526</v>
      </c>
      <c r="L108" s="344" t="s">
        <v>1054</v>
      </c>
      <c r="M108" s="442">
        <v>0</v>
      </c>
      <c r="N108" s="442">
        <v>0</v>
      </c>
      <c r="O108" s="442">
        <v>0.3</v>
      </c>
      <c r="P108" s="442">
        <v>0.7</v>
      </c>
      <c r="Q108" s="711">
        <v>1</v>
      </c>
      <c r="R108" s="699" t="s">
        <v>950</v>
      </c>
      <c r="S108" s="699" t="s">
        <v>1003</v>
      </c>
      <c r="T108" s="952"/>
    </row>
    <row r="109" spans="1:159" s="493" customFormat="1" ht="82.5" customHeight="1">
      <c r="A109" s="204"/>
      <c r="B109" s="517" t="s">
        <v>755</v>
      </c>
      <c r="C109" s="517" t="s">
        <v>872</v>
      </c>
      <c r="D109" s="517" t="s">
        <v>574</v>
      </c>
      <c r="E109" s="517" t="s">
        <v>653</v>
      </c>
      <c r="F109" s="519" t="s">
        <v>799</v>
      </c>
      <c r="G109" s="602">
        <v>1</v>
      </c>
      <c r="H109" s="409" t="s">
        <v>798</v>
      </c>
      <c r="I109" s="602" t="s">
        <v>1171</v>
      </c>
      <c r="J109" s="409" t="s">
        <v>168</v>
      </c>
      <c r="K109" s="602" t="s">
        <v>527</v>
      </c>
      <c r="L109" s="602" t="s">
        <v>1065</v>
      </c>
      <c r="M109" s="491" t="s">
        <v>839</v>
      </c>
      <c r="N109" s="602" t="s">
        <v>1096</v>
      </c>
      <c r="O109" s="602" t="s">
        <v>1097</v>
      </c>
      <c r="P109" s="602" t="s">
        <v>1098</v>
      </c>
      <c r="Q109" s="517" t="str">
        <f>I109</f>
        <v>US: 15
WM: 22
ScN: 35</v>
      </c>
      <c r="R109" s="518" t="s">
        <v>352</v>
      </c>
      <c r="S109" s="517" t="s">
        <v>374</v>
      </c>
      <c r="T109" s="513"/>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row>
    <row r="110" spans="1:159" s="204" customFormat="1" ht="64.5" customHeight="1">
      <c r="B110" s="459" t="s">
        <v>755</v>
      </c>
      <c r="C110" s="459" t="s">
        <v>872</v>
      </c>
      <c r="D110" s="459" t="s">
        <v>574</v>
      </c>
      <c r="E110" s="459" t="s">
        <v>654</v>
      </c>
      <c r="F110" s="436" t="s">
        <v>860</v>
      </c>
      <c r="G110" s="344">
        <v>1</v>
      </c>
      <c r="H110" s="345" t="s">
        <v>800</v>
      </c>
      <c r="I110" s="344" t="s">
        <v>1101</v>
      </c>
      <c r="J110" s="345" t="s">
        <v>1100</v>
      </c>
      <c r="K110" s="344" t="s">
        <v>527</v>
      </c>
      <c r="L110" s="344" t="s">
        <v>1065</v>
      </c>
      <c r="M110" s="443" t="s">
        <v>1099</v>
      </c>
      <c r="N110" s="443" t="s">
        <v>1099</v>
      </c>
      <c r="O110" s="443" t="s">
        <v>1102</v>
      </c>
      <c r="P110" s="443" t="s">
        <v>1103</v>
      </c>
      <c r="Q110" s="459" t="str">
        <f>I110</f>
        <v>QS: 240
Scimago internacional: 590</v>
      </c>
      <c r="R110" s="715" t="s">
        <v>352</v>
      </c>
      <c r="S110" s="459" t="s">
        <v>504</v>
      </c>
      <c r="T110" s="601"/>
    </row>
    <row r="111" spans="1:159" s="493" customFormat="1" ht="97.5" customHeight="1">
      <c r="A111" s="204"/>
      <c r="B111" s="886" t="s">
        <v>1398</v>
      </c>
      <c r="C111" s="886" t="s">
        <v>862</v>
      </c>
      <c r="D111" s="886" t="s">
        <v>574</v>
      </c>
      <c r="E111" s="886" t="s">
        <v>655</v>
      </c>
      <c r="F111" s="888" t="s">
        <v>1399</v>
      </c>
      <c r="G111" s="914">
        <v>1</v>
      </c>
      <c r="H111" s="939" t="s">
        <v>510</v>
      </c>
      <c r="I111" s="495">
        <v>0.2</v>
      </c>
      <c r="J111" s="409" t="s">
        <v>1089</v>
      </c>
      <c r="K111" s="602" t="s">
        <v>527</v>
      </c>
      <c r="L111" s="602" t="s">
        <v>1058</v>
      </c>
      <c r="M111" s="495">
        <v>0.12</v>
      </c>
      <c r="N111" s="495">
        <v>0.12</v>
      </c>
      <c r="O111" s="495">
        <v>0.14000000000000001</v>
      </c>
      <c r="P111" s="495">
        <v>0.16</v>
      </c>
      <c r="Q111" s="495">
        <v>0.2</v>
      </c>
      <c r="R111" s="518" t="s">
        <v>801</v>
      </c>
      <c r="S111" s="517" t="s">
        <v>324</v>
      </c>
      <c r="T111" s="513"/>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row>
    <row r="112" spans="1:159" s="493" customFormat="1" ht="86.25" customHeight="1">
      <c r="A112" s="204"/>
      <c r="B112" s="904"/>
      <c r="C112" s="904"/>
      <c r="D112" s="904"/>
      <c r="E112" s="904"/>
      <c r="F112" s="908"/>
      <c r="G112" s="915"/>
      <c r="H112" s="953"/>
      <c r="I112" s="495">
        <v>0.4</v>
      </c>
      <c r="J112" s="409" t="s">
        <v>1090</v>
      </c>
      <c r="K112" s="602" t="s">
        <v>527</v>
      </c>
      <c r="L112" s="602" t="s">
        <v>1058</v>
      </c>
      <c r="M112" s="495">
        <v>0.1</v>
      </c>
      <c r="N112" s="495">
        <v>0.1</v>
      </c>
      <c r="O112" s="495">
        <v>0.2</v>
      </c>
      <c r="P112" s="495">
        <v>0.3</v>
      </c>
      <c r="Q112" s="495">
        <v>0.4</v>
      </c>
      <c r="R112" s="518" t="s">
        <v>801</v>
      </c>
      <c r="S112" s="517" t="s">
        <v>324</v>
      </c>
      <c r="T112" s="513"/>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c r="CW112" s="204"/>
      <c r="CX112" s="204"/>
      <c r="CY112" s="204"/>
      <c r="CZ112" s="204"/>
      <c r="DA112" s="204"/>
      <c r="DB112" s="204"/>
      <c r="DC112" s="204"/>
      <c r="DD112" s="204"/>
      <c r="DE112" s="204"/>
      <c r="DF112" s="204"/>
      <c r="DG112" s="204"/>
      <c r="DH112" s="204"/>
      <c r="DI112" s="204"/>
      <c r="DJ112" s="204"/>
      <c r="DK112" s="204"/>
      <c r="DL112" s="204"/>
      <c r="DM112" s="204"/>
      <c r="DN112" s="204"/>
      <c r="DO112" s="204"/>
      <c r="DP112" s="204"/>
      <c r="DQ112" s="204"/>
      <c r="DR112" s="204"/>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row>
    <row r="113" spans="1:159" s="493" customFormat="1" ht="82.5" customHeight="1">
      <c r="A113" s="204"/>
      <c r="B113" s="887"/>
      <c r="C113" s="887"/>
      <c r="D113" s="887"/>
      <c r="E113" s="887"/>
      <c r="F113" s="889"/>
      <c r="G113" s="916"/>
      <c r="H113" s="940"/>
      <c r="I113" s="495">
        <v>0.2</v>
      </c>
      <c r="J113" s="409" t="s">
        <v>1091</v>
      </c>
      <c r="K113" s="602" t="s">
        <v>527</v>
      </c>
      <c r="L113" s="602" t="s">
        <v>1058</v>
      </c>
      <c r="M113" s="495" t="s">
        <v>1008</v>
      </c>
      <c r="N113" s="495">
        <v>0.05</v>
      </c>
      <c r="O113" s="495">
        <v>0.1</v>
      </c>
      <c r="P113" s="495">
        <v>0.15</v>
      </c>
      <c r="Q113" s="495">
        <v>0.2</v>
      </c>
      <c r="R113" s="517" t="s">
        <v>1013</v>
      </c>
      <c r="S113" s="517" t="s">
        <v>1256</v>
      </c>
      <c r="T113" s="513"/>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4"/>
      <c r="BU113" s="204"/>
      <c r="BV113" s="204"/>
      <c r="BW113" s="204"/>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row>
    <row r="114" spans="1:159" s="554" customFormat="1" ht="18" customHeight="1">
      <c r="A114"/>
      <c r="B114"/>
      <c r="C114"/>
      <c r="D114"/>
      <c r="E114"/>
      <c r="F114"/>
      <c r="G114"/>
      <c r="H114"/>
      <c r="I114"/>
      <c r="J114"/>
      <c r="K114"/>
      <c r="L114"/>
      <c r="M114"/>
      <c r="N114"/>
      <c r="O114"/>
      <c r="P114"/>
      <c r="Q114"/>
      <c r="R114"/>
      <c r="S114"/>
      <c r="T114"/>
      <c r="U114" s="446"/>
      <c r="V114" s="446"/>
      <c r="W114" s="446"/>
      <c r="X114" s="446"/>
      <c r="Y114" s="446"/>
      <c r="Z114" s="446"/>
      <c r="AA114" s="446"/>
      <c r="AB114" s="446"/>
      <c r="AC114" s="446"/>
      <c r="AD114" s="446"/>
      <c r="AE114" s="446"/>
      <c r="AF114" s="446"/>
      <c r="AG114" s="446"/>
      <c r="AH114" s="446"/>
      <c r="AI114" s="446"/>
      <c r="AJ114" s="446"/>
      <c r="AK114" s="446"/>
      <c r="AL114" s="446"/>
      <c r="AM114" s="446"/>
      <c r="AN114" s="446"/>
      <c r="AO114" s="446"/>
      <c r="AP114" s="446"/>
      <c r="AQ114" s="446"/>
      <c r="AR114" s="446"/>
      <c r="AS114" s="446"/>
      <c r="AT114" s="446"/>
      <c r="AU114" s="446"/>
      <c r="AV114" s="446"/>
      <c r="AW114" s="446"/>
      <c r="AX114" s="446"/>
      <c r="AY114" s="446"/>
      <c r="AZ114" s="446"/>
      <c r="BA114" s="446"/>
      <c r="BB114" s="446"/>
      <c r="BC114" s="446"/>
      <c r="BD114" s="446"/>
      <c r="BE114" s="446"/>
      <c r="BF114" s="446"/>
      <c r="BG114" s="446"/>
      <c r="BH114" s="446"/>
      <c r="BI114" s="446"/>
      <c r="BJ114" s="446"/>
      <c r="BK114" s="446"/>
      <c r="BL114" s="446"/>
      <c r="BM114" s="446"/>
      <c r="BN114" s="446"/>
      <c r="BO114" s="446"/>
      <c r="BP114" s="446"/>
      <c r="BQ114" s="446"/>
      <c r="BR114" s="446"/>
      <c r="BS114" s="446"/>
      <c r="BT114" s="446"/>
      <c r="BU114" s="446"/>
      <c r="BV114" s="446"/>
      <c r="BW114" s="446"/>
      <c r="BX114" s="446"/>
      <c r="BY114" s="446"/>
      <c r="BZ114" s="446"/>
      <c r="CA114" s="446"/>
      <c r="CB114" s="446"/>
      <c r="CC114" s="446"/>
      <c r="CD114" s="446"/>
      <c r="CE114" s="446"/>
      <c r="CF114" s="446"/>
      <c r="CG114" s="446"/>
      <c r="CH114" s="446"/>
      <c r="CI114" s="446"/>
      <c r="CJ114" s="446"/>
      <c r="CK114" s="446"/>
      <c r="CL114" s="446"/>
      <c r="CM114" s="446"/>
      <c r="CN114" s="446"/>
      <c r="CO114" s="446"/>
      <c r="CP114" s="446"/>
      <c r="CQ114" s="446"/>
      <c r="CR114" s="446"/>
      <c r="CS114" s="446"/>
      <c r="CT114" s="446"/>
      <c r="CU114" s="446"/>
      <c r="CV114" s="446"/>
      <c r="CW114" s="446"/>
      <c r="CX114" s="446"/>
      <c r="CY114" s="446"/>
      <c r="CZ114" s="446"/>
      <c r="DA114" s="446"/>
      <c r="DB114" s="446"/>
      <c r="DC114" s="446"/>
      <c r="DD114" s="446"/>
      <c r="DE114" s="446"/>
      <c r="DF114" s="446"/>
      <c r="DG114" s="446"/>
      <c r="DH114" s="446"/>
      <c r="DI114" s="446"/>
      <c r="DJ114" s="446"/>
      <c r="DK114" s="446"/>
      <c r="DL114" s="446"/>
      <c r="DM114" s="446"/>
      <c r="DN114" s="446"/>
      <c r="DO114" s="446"/>
      <c r="DP114" s="446"/>
      <c r="DQ114" s="446"/>
      <c r="DR114" s="446"/>
      <c r="DS114" s="446"/>
      <c r="DT114" s="446"/>
      <c r="DU114" s="446"/>
      <c r="DV114" s="446"/>
      <c r="DW114" s="446"/>
      <c r="DX114" s="446"/>
      <c r="DY114" s="446"/>
      <c r="DZ114" s="446"/>
      <c r="EA114" s="446"/>
      <c r="EB114" s="446"/>
      <c r="EC114" s="446"/>
      <c r="ED114" s="446"/>
      <c r="EE114" s="446"/>
      <c r="EF114" s="446"/>
      <c r="EG114" s="446"/>
      <c r="EH114" s="446"/>
      <c r="EI114" s="446"/>
      <c r="EJ114" s="446"/>
      <c r="EK114" s="446"/>
      <c r="EL114" s="446"/>
      <c r="EM114" s="446"/>
      <c r="EN114" s="446"/>
      <c r="EO114" s="446"/>
      <c r="EP114" s="446"/>
      <c r="EQ114" s="446"/>
      <c r="ER114" s="446"/>
      <c r="ES114" s="446"/>
      <c r="ET114" s="446"/>
      <c r="EU114" s="446"/>
      <c r="EV114" s="446"/>
      <c r="EW114" s="446"/>
      <c r="EX114" s="446"/>
      <c r="EY114" s="446"/>
      <c r="EZ114" s="446"/>
      <c r="FA114" s="446"/>
      <c r="FB114" s="446"/>
      <c r="FC114" s="446"/>
    </row>
    <row r="115" spans="1:159">
      <c r="G115" s="257"/>
      <c r="H115" s="257"/>
      <c r="I115" s="716"/>
      <c r="J115" s="257"/>
      <c r="K115" s="258"/>
      <c r="L115" s="258"/>
      <c r="M115" s="259"/>
      <c r="N115" s="259"/>
      <c r="O115" s="259"/>
      <c r="P115" s="259"/>
    </row>
    <row r="116" spans="1:159">
      <c r="G116" s="257"/>
      <c r="H116" s="257"/>
      <c r="I116" s="716"/>
      <c r="J116" s="257"/>
      <c r="K116" s="258"/>
      <c r="L116" s="258"/>
      <c r="M116" s="259"/>
      <c r="N116" s="259"/>
      <c r="O116" s="259"/>
      <c r="P116" s="259"/>
    </row>
    <row r="117" spans="1:159">
      <c r="G117" s="257"/>
      <c r="H117" s="257"/>
      <c r="I117" s="716"/>
      <c r="J117" s="257"/>
      <c r="K117" s="258"/>
      <c r="L117" s="258"/>
      <c r="M117" s="259"/>
      <c r="N117" s="259"/>
      <c r="O117" s="259"/>
      <c r="P117" s="259"/>
    </row>
    <row r="118" spans="1:159">
      <c r="G118" s="257"/>
      <c r="H118" s="257"/>
      <c r="I118" s="716"/>
      <c r="J118" s="257"/>
      <c r="K118" s="258"/>
      <c r="L118" s="258"/>
      <c r="M118" s="259"/>
      <c r="N118" s="259"/>
      <c r="O118" s="259"/>
      <c r="P118" s="259"/>
    </row>
    <row r="119" spans="1:159">
      <c r="G119" s="257"/>
      <c r="H119" s="257"/>
      <c r="I119" s="716"/>
      <c r="J119" s="257"/>
      <c r="K119" s="258"/>
      <c r="L119" s="258"/>
      <c r="M119" s="259"/>
      <c r="N119" s="259"/>
      <c r="O119" s="259"/>
      <c r="P119" s="259"/>
    </row>
    <row r="120" spans="1:159">
      <c r="G120" s="257"/>
      <c r="H120" s="257"/>
      <c r="I120" s="716"/>
      <c r="J120" s="257"/>
      <c r="K120" s="258"/>
      <c r="L120" s="258"/>
      <c r="M120" s="259"/>
      <c r="N120" s="259"/>
      <c r="O120" s="259"/>
      <c r="P120" s="259"/>
    </row>
    <row r="121" spans="1:159">
      <c r="G121" s="257"/>
      <c r="H121" s="257"/>
      <c r="I121" s="716"/>
      <c r="J121" s="257"/>
      <c r="K121" s="258"/>
      <c r="L121" s="258"/>
      <c r="M121" s="259"/>
      <c r="N121" s="259"/>
      <c r="O121" s="259"/>
      <c r="P121" s="259"/>
    </row>
    <row r="122" spans="1:159"/>
    <row r="123" spans="1:159"/>
    <row r="124" spans="1:159"/>
    <row r="125" spans="1:159"/>
    <row r="126" spans="1:159"/>
    <row r="127" spans="1:159"/>
    <row r="128" spans="1:159"/>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sheetData>
  <sheetProtection autoFilter="0"/>
  <autoFilter ref="B3:T114" xr:uid="{00000000-0009-0000-0000-000007000000}">
    <filterColumn colId="3" showButton="0"/>
    <filterColumn colId="5" showButton="0"/>
    <filterColumn colId="12" showButton="0"/>
    <filterColumn colId="13" showButton="0"/>
    <filterColumn colId="14" showButton="0"/>
  </autoFilter>
  <mergeCells count="199">
    <mergeCell ref="B105:B108"/>
    <mergeCell ref="C105:C108"/>
    <mergeCell ref="D105:D108"/>
    <mergeCell ref="E105:E108"/>
    <mergeCell ref="F105:F108"/>
    <mergeCell ref="G105:G108"/>
    <mergeCell ref="H105:H108"/>
    <mergeCell ref="T105:T108"/>
    <mergeCell ref="B111:B113"/>
    <mergeCell ref="C111:C113"/>
    <mergeCell ref="D111:D113"/>
    <mergeCell ref="E111:E113"/>
    <mergeCell ref="F111:F113"/>
    <mergeCell ref="G111:G113"/>
    <mergeCell ref="H111:H113"/>
    <mergeCell ref="B96:B98"/>
    <mergeCell ref="D96:D98"/>
    <mergeCell ref="E96:E98"/>
    <mergeCell ref="F96:F98"/>
    <mergeCell ref="B99:B101"/>
    <mergeCell ref="D99:D101"/>
    <mergeCell ref="E99:E101"/>
    <mergeCell ref="F99:F101"/>
    <mergeCell ref="B102:B103"/>
    <mergeCell ref="D102:D103"/>
    <mergeCell ref="E102:E103"/>
    <mergeCell ref="F102:F103"/>
    <mergeCell ref="T85:T86"/>
    <mergeCell ref="C88:C89"/>
    <mergeCell ref="G88:G89"/>
    <mergeCell ref="H88:H89"/>
    <mergeCell ref="B91:B95"/>
    <mergeCell ref="D91:D95"/>
    <mergeCell ref="E91:E95"/>
    <mergeCell ref="F91:F95"/>
    <mergeCell ref="G92:G93"/>
    <mergeCell ref="H92:H93"/>
    <mergeCell ref="B80:B83"/>
    <mergeCell ref="D80:D83"/>
    <mergeCell ref="E80:E83"/>
    <mergeCell ref="F80:F83"/>
    <mergeCell ref="B85:B90"/>
    <mergeCell ref="D85:D90"/>
    <mergeCell ref="E85:E90"/>
    <mergeCell ref="F85:F90"/>
    <mergeCell ref="S72:S75"/>
    <mergeCell ref="B77:B78"/>
    <mergeCell ref="C77:C78"/>
    <mergeCell ref="D77:D78"/>
    <mergeCell ref="E77:E78"/>
    <mergeCell ref="F77:F78"/>
    <mergeCell ref="G77:G78"/>
    <mergeCell ref="H77:H78"/>
    <mergeCell ref="S77:S78"/>
    <mergeCell ref="S85:S86"/>
    <mergeCell ref="H70:H71"/>
    <mergeCell ref="B72:B75"/>
    <mergeCell ref="C72:C75"/>
    <mergeCell ref="D72:D75"/>
    <mergeCell ref="E72:E75"/>
    <mergeCell ref="F72:F75"/>
    <mergeCell ref="G72:G75"/>
    <mergeCell ref="H72:H75"/>
    <mergeCell ref="B69:B71"/>
    <mergeCell ref="D69:D71"/>
    <mergeCell ref="E69:E71"/>
    <mergeCell ref="F69:F71"/>
    <mergeCell ref="C70:C71"/>
    <mergeCell ref="G70:G71"/>
    <mergeCell ref="H61:H62"/>
    <mergeCell ref="S61:S62"/>
    <mergeCell ref="T61:T62"/>
    <mergeCell ref="B64:B67"/>
    <mergeCell ref="D64:D68"/>
    <mergeCell ref="E64:E68"/>
    <mergeCell ref="F64:F68"/>
    <mergeCell ref="H56:H57"/>
    <mergeCell ref="B58:B59"/>
    <mergeCell ref="D58:D59"/>
    <mergeCell ref="E58:E59"/>
    <mergeCell ref="F58:F59"/>
    <mergeCell ref="B61:B63"/>
    <mergeCell ref="D61:D63"/>
    <mergeCell ref="E61:E63"/>
    <mergeCell ref="F61:F63"/>
    <mergeCell ref="G61:G62"/>
    <mergeCell ref="B55:B57"/>
    <mergeCell ref="D55:D57"/>
    <mergeCell ref="E55:E57"/>
    <mergeCell ref="F55:F57"/>
    <mergeCell ref="C56:C57"/>
    <mergeCell ref="G56:G57"/>
    <mergeCell ref="B49:B52"/>
    <mergeCell ref="D49:D52"/>
    <mergeCell ref="E49:E52"/>
    <mergeCell ref="F49:F52"/>
    <mergeCell ref="G49:G52"/>
    <mergeCell ref="H49:H52"/>
    <mergeCell ref="B43:B48"/>
    <mergeCell ref="D43:D48"/>
    <mergeCell ref="E43:E48"/>
    <mergeCell ref="F43:F48"/>
    <mergeCell ref="G43:G48"/>
    <mergeCell ref="H43:H48"/>
    <mergeCell ref="B37:B38"/>
    <mergeCell ref="C37:C38"/>
    <mergeCell ref="D37:D38"/>
    <mergeCell ref="E37:E38"/>
    <mergeCell ref="F37:F38"/>
    <mergeCell ref="B39:B41"/>
    <mergeCell ref="D39:D41"/>
    <mergeCell ref="E39:E41"/>
    <mergeCell ref="F39:F41"/>
    <mergeCell ref="R32:R33"/>
    <mergeCell ref="S32:S33"/>
    <mergeCell ref="B34:B36"/>
    <mergeCell ref="D34:D36"/>
    <mergeCell ref="E34:E36"/>
    <mergeCell ref="F34:F36"/>
    <mergeCell ref="B30:B31"/>
    <mergeCell ref="D30:D31"/>
    <mergeCell ref="E30:E31"/>
    <mergeCell ref="F30:F31"/>
    <mergeCell ref="B32:B33"/>
    <mergeCell ref="D32:D33"/>
    <mergeCell ref="E32:E33"/>
    <mergeCell ref="F32:F33"/>
    <mergeCell ref="R26:R27"/>
    <mergeCell ref="S26:S27"/>
    <mergeCell ref="B28:B29"/>
    <mergeCell ref="D28:D29"/>
    <mergeCell ref="E28:E29"/>
    <mergeCell ref="F28:F29"/>
    <mergeCell ref="B23:B25"/>
    <mergeCell ref="D23:D25"/>
    <mergeCell ref="E23:E25"/>
    <mergeCell ref="F23:F25"/>
    <mergeCell ref="B26:B27"/>
    <mergeCell ref="D26:D27"/>
    <mergeCell ref="E26:E27"/>
    <mergeCell ref="F26:F27"/>
    <mergeCell ref="B21:B22"/>
    <mergeCell ref="D21:D22"/>
    <mergeCell ref="E21:E22"/>
    <mergeCell ref="F21:F22"/>
    <mergeCell ref="S21:S22"/>
    <mergeCell ref="T21:T22"/>
    <mergeCell ref="B14:B15"/>
    <mergeCell ref="D14:D15"/>
    <mergeCell ref="E14:E15"/>
    <mergeCell ref="F14:F15"/>
    <mergeCell ref="T14:T15"/>
    <mergeCell ref="B16:B17"/>
    <mergeCell ref="D16:D17"/>
    <mergeCell ref="E16:E17"/>
    <mergeCell ref="F16:F17"/>
    <mergeCell ref="T10:T11"/>
    <mergeCell ref="B12:B13"/>
    <mergeCell ref="D12:D13"/>
    <mergeCell ref="E12:E13"/>
    <mergeCell ref="F12:F13"/>
    <mergeCell ref="J10:J11"/>
    <mergeCell ref="K10:K11"/>
    <mergeCell ref="L10:L11"/>
    <mergeCell ref="M10:M11"/>
    <mergeCell ref="N10:N11"/>
    <mergeCell ref="O10:O11"/>
    <mergeCell ref="B8:B9"/>
    <mergeCell ref="D8:D9"/>
    <mergeCell ref="E8:E9"/>
    <mergeCell ref="F8:F9"/>
    <mergeCell ref="S8:S9"/>
    <mergeCell ref="B10:B11"/>
    <mergeCell ref="D10:D11"/>
    <mergeCell ref="E10:E11"/>
    <mergeCell ref="F10:F11"/>
    <mergeCell ref="I10:I11"/>
    <mergeCell ref="P10:P11"/>
    <mergeCell ref="Q10:Q11"/>
    <mergeCell ref="R10:R11"/>
    <mergeCell ref="S10:S11"/>
    <mergeCell ref="S3:S4"/>
    <mergeCell ref="T3:T4"/>
    <mergeCell ref="B5:B7"/>
    <mergeCell ref="D5:D7"/>
    <mergeCell ref="E5:E7"/>
    <mergeCell ref="F5:F7"/>
    <mergeCell ref="J3:J4"/>
    <mergeCell ref="K3:K4"/>
    <mergeCell ref="L3:L4"/>
    <mergeCell ref="M3:M4"/>
    <mergeCell ref="N3:Q3"/>
    <mergeCell ref="R3:R4"/>
    <mergeCell ref="B3:B4"/>
    <mergeCell ref="C3:C4"/>
    <mergeCell ref="D3:D4"/>
    <mergeCell ref="E3:F4"/>
    <mergeCell ref="G3:H4"/>
    <mergeCell ref="I3:I4"/>
  </mergeCells>
  <dataValidations count="1">
    <dataValidation type="list" allowBlank="1" showInputMessage="1" showErrorMessage="1" sqref="L12:L113 L5:L10" xr:uid="{00000000-0002-0000-0700-000000000000}">
      <formula1>"Creciente,Suma,Decreciente,Constante"</formula1>
    </dataValidation>
  </dataValidations>
  <printOptions horizontalCentered="1"/>
  <pageMargins left="0.43307086614173229" right="0.43307086614173229" top="0.39370078740157483" bottom="0.39370078740157483" header="0.31496062992125984" footer="0.31496062992125984"/>
  <pageSetup paperSize="9" scale="36" fitToHeight="0" orientation="landscape" horizontalDpi="300" verticalDpi="300" r:id="rId1"/>
  <rowBreaks count="4" manualBreakCount="4">
    <brk id="20" min="1" max="18" man="1"/>
    <brk id="38" min="1" max="18" man="1"/>
    <brk id="63" min="1" max="18" man="1"/>
    <brk id="82" min="1" max="18" man="1"/>
  </rowBreaks>
  <colBreaks count="1" manualBreakCount="1">
    <brk id="9" min="2" max="12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20"/>
  <sheetViews>
    <sheetView showGridLines="0" tabSelected="1" zoomScaleNormal="100" workbookViewId="0">
      <selection activeCell="I114" sqref="I114"/>
    </sheetView>
  </sheetViews>
  <sheetFormatPr baseColWidth="10" defaultColWidth="0" defaultRowHeight="15" zeroHeight="1"/>
  <cols>
    <col min="1" max="1" width="2.7109375" customWidth="1"/>
    <col min="2" max="2" width="16.85546875" style="337" customWidth="1"/>
    <col min="3" max="3" width="15" style="337" customWidth="1"/>
    <col min="4" max="4" width="20.5703125" style="211" customWidth="1"/>
    <col min="5" max="5" width="4.42578125" style="210" customWidth="1"/>
    <col min="6" max="6" width="31.7109375" style="209" customWidth="1"/>
    <col min="7" max="7" width="3.85546875" style="75" customWidth="1"/>
    <col min="8" max="8" width="44.85546875" style="75" customWidth="1"/>
    <col min="9" max="9" width="39.140625" style="75" customWidth="1"/>
    <col min="10" max="10" width="16.42578125" style="211" customWidth="1"/>
    <col min="11" max="11" width="20" style="423" bestFit="1" customWidth="1"/>
    <col min="12" max="12" width="21" style="423" customWidth="1"/>
    <col min="13" max="13" width="20" style="423" customWidth="1"/>
    <col min="14" max="14" width="24.28515625" style="423" customWidth="1"/>
    <col min="15" max="15" width="20" style="423" customWidth="1"/>
    <col min="16" max="16" width="24.28515625" style="423" customWidth="1"/>
    <col min="17" max="17" width="20" style="423" customWidth="1"/>
    <col min="18" max="18" width="24.28515625" style="423" customWidth="1"/>
    <col min="19" max="19" width="21.7109375" style="429" bestFit="1" customWidth="1"/>
    <col min="20" max="20" width="59.85546875" style="228" customWidth="1"/>
    <col min="21" max="23" width="20.7109375" customWidth="1"/>
    <col min="24" max="24" width="23.5703125" style="558" hidden="1" customWidth="1"/>
    <col min="25" max="27" width="11.42578125" style="336" customWidth="1"/>
    <col min="28" max="16384" width="11.42578125" style="336" hidden="1"/>
  </cols>
  <sheetData>
    <row r="1" spans="2:24" ht="10.5" customHeight="1"/>
    <row r="2" spans="2:24" ht="15.75">
      <c r="B2" s="982" t="s">
        <v>708</v>
      </c>
      <c r="C2" s="982"/>
      <c r="D2" s="982"/>
      <c r="E2" s="982"/>
      <c r="F2" s="982"/>
      <c r="G2" s="982"/>
      <c r="H2" s="982"/>
      <c r="I2" s="982"/>
      <c r="J2" s="982"/>
      <c r="K2" s="974">
        <v>2022</v>
      </c>
      <c r="L2" s="974"/>
      <c r="M2" s="974">
        <v>2023</v>
      </c>
      <c r="N2" s="974"/>
      <c r="O2" s="974">
        <v>2024</v>
      </c>
      <c r="P2" s="974"/>
      <c r="Q2" s="974">
        <v>2025</v>
      </c>
      <c r="R2" s="974"/>
      <c r="U2" s="975"/>
      <c r="V2" s="975"/>
    </row>
    <row r="3" spans="2:24" ht="15" customHeight="1">
      <c r="B3" s="964" t="s">
        <v>756</v>
      </c>
      <c r="C3" s="964" t="s">
        <v>854</v>
      </c>
      <c r="D3" s="976" t="s">
        <v>747</v>
      </c>
      <c r="E3" s="977" t="s">
        <v>598</v>
      </c>
      <c r="F3" s="977"/>
      <c r="G3" s="885" t="s">
        <v>1167</v>
      </c>
      <c r="H3" s="885"/>
      <c r="I3" s="978" t="s">
        <v>745</v>
      </c>
      <c r="J3" s="977" t="s">
        <v>1163</v>
      </c>
      <c r="K3" s="973" t="s">
        <v>1174</v>
      </c>
      <c r="L3" s="973" t="s">
        <v>1175</v>
      </c>
      <c r="M3" s="973" t="s">
        <v>1174</v>
      </c>
      <c r="N3" s="973" t="s">
        <v>1175</v>
      </c>
      <c r="O3" s="973" t="s">
        <v>1174</v>
      </c>
      <c r="P3" s="973" t="s">
        <v>1175</v>
      </c>
      <c r="Q3" s="973" t="s">
        <v>1174</v>
      </c>
      <c r="R3" s="973" t="s">
        <v>1175</v>
      </c>
      <c r="S3" s="979" t="s">
        <v>1176</v>
      </c>
      <c r="T3" s="973" t="s">
        <v>825</v>
      </c>
      <c r="U3" s="980" t="s">
        <v>1177</v>
      </c>
      <c r="V3" s="971" t="s">
        <v>1178</v>
      </c>
      <c r="W3" s="971" t="s">
        <v>1179</v>
      </c>
      <c r="X3" s="971"/>
    </row>
    <row r="4" spans="2:24" ht="15" customHeight="1">
      <c r="B4" s="964"/>
      <c r="C4" s="964"/>
      <c r="D4" s="976"/>
      <c r="E4" s="977"/>
      <c r="F4" s="977"/>
      <c r="G4" s="885"/>
      <c r="H4" s="885"/>
      <c r="I4" s="978"/>
      <c r="J4" s="977"/>
      <c r="K4" s="973"/>
      <c r="L4" s="973" t="s">
        <v>1173</v>
      </c>
      <c r="M4" s="973"/>
      <c r="N4" s="973" t="s">
        <v>1173</v>
      </c>
      <c r="O4" s="973"/>
      <c r="P4" s="973" t="s">
        <v>1173</v>
      </c>
      <c r="Q4" s="973"/>
      <c r="R4" s="973" t="s">
        <v>1173</v>
      </c>
      <c r="S4" s="979"/>
      <c r="T4" s="973"/>
      <c r="U4" s="981" t="s">
        <v>1173</v>
      </c>
      <c r="V4" s="972"/>
      <c r="W4" s="972"/>
      <c r="X4" s="972"/>
    </row>
    <row r="5" spans="2:24" ht="78" customHeight="1">
      <c r="B5" s="957" t="s">
        <v>1022</v>
      </c>
      <c r="C5" s="562" t="s">
        <v>856</v>
      </c>
      <c r="D5" s="957" t="s">
        <v>1440</v>
      </c>
      <c r="E5" s="877" t="s">
        <v>580</v>
      </c>
      <c r="F5" s="880" t="s">
        <v>579</v>
      </c>
      <c r="G5" s="626">
        <v>1</v>
      </c>
      <c r="H5" s="345" t="s">
        <v>1290</v>
      </c>
      <c r="I5" s="347" t="s">
        <v>1156</v>
      </c>
      <c r="J5" s="408">
        <v>1</v>
      </c>
      <c r="K5" s="584">
        <f>1071179501+348434090</f>
        <v>1419613591</v>
      </c>
      <c r="L5" s="584">
        <v>0</v>
      </c>
      <c r="M5" s="584">
        <f t="shared" ref="M5:M10" si="0">K5*(1+9.5%)</f>
        <v>1554476882.145</v>
      </c>
      <c r="N5" s="584">
        <v>0</v>
      </c>
      <c r="O5" s="584">
        <f>M5*(1+6.4%)</f>
        <v>1653963402.6022801</v>
      </c>
      <c r="P5" s="584">
        <v>0</v>
      </c>
      <c r="Q5" s="584">
        <f t="shared" ref="Q5:Q10" si="1">O5*(1+4%)</f>
        <v>1720121938.7063713</v>
      </c>
      <c r="R5" s="584">
        <v>0</v>
      </c>
      <c r="S5" s="582">
        <f t="shared" ref="S5:S51" si="2">SUM(K5:R5)</f>
        <v>6348175814.4536514</v>
      </c>
      <c r="T5" s="347" t="s">
        <v>1258</v>
      </c>
      <c r="U5" s="779">
        <f t="shared" ref="U5:U10" si="3">S5</f>
        <v>6348175814.4536514</v>
      </c>
      <c r="V5" s="779">
        <v>0</v>
      </c>
      <c r="W5" s="779">
        <v>0</v>
      </c>
      <c r="X5" s="576" t="s">
        <v>1276</v>
      </c>
    </row>
    <row r="6" spans="2:24" ht="76.5">
      <c r="B6" s="958"/>
      <c r="C6" s="562" t="s">
        <v>856</v>
      </c>
      <c r="D6" s="958"/>
      <c r="E6" s="878"/>
      <c r="F6" s="881"/>
      <c r="G6" s="626">
        <v>2</v>
      </c>
      <c r="H6" s="345" t="s">
        <v>857</v>
      </c>
      <c r="I6" s="347" t="s">
        <v>742</v>
      </c>
      <c r="J6" s="408">
        <v>1</v>
      </c>
      <c r="K6" s="585">
        <f>1071179501+348434090</f>
        <v>1419613591</v>
      </c>
      <c r="L6" s="585">
        <v>0</v>
      </c>
      <c r="M6" s="585">
        <f t="shared" si="0"/>
        <v>1554476882.145</v>
      </c>
      <c r="N6" s="585">
        <v>0</v>
      </c>
      <c r="O6" s="585">
        <f>M6*(1+6.4%)</f>
        <v>1653963402.6022801</v>
      </c>
      <c r="P6" s="585">
        <v>0</v>
      </c>
      <c r="Q6" s="585">
        <f t="shared" si="1"/>
        <v>1720121938.7063713</v>
      </c>
      <c r="R6" s="585">
        <v>0</v>
      </c>
      <c r="S6" s="588">
        <f t="shared" si="2"/>
        <v>6348175814.4536514</v>
      </c>
      <c r="T6" s="347" t="s">
        <v>1258</v>
      </c>
      <c r="U6" s="780">
        <f t="shared" si="3"/>
        <v>6348175814.4536514</v>
      </c>
      <c r="V6" s="780">
        <v>0</v>
      </c>
      <c r="W6" s="780">
        <v>0</v>
      </c>
      <c r="X6" s="576" t="s">
        <v>1276</v>
      </c>
    </row>
    <row r="7" spans="2:24" ht="76.5">
      <c r="B7" s="959"/>
      <c r="C7" s="562" t="s">
        <v>868</v>
      </c>
      <c r="D7" s="959"/>
      <c r="E7" s="879"/>
      <c r="F7" s="882"/>
      <c r="G7" s="626">
        <v>3</v>
      </c>
      <c r="H7" s="753" t="s">
        <v>1362</v>
      </c>
      <c r="I7" s="347" t="s">
        <v>744</v>
      </c>
      <c r="J7" s="408">
        <v>1</v>
      </c>
      <c r="K7" s="585">
        <f>1071179501+348434090</f>
        <v>1419613591</v>
      </c>
      <c r="L7" s="585">
        <v>0</v>
      </c>
      <c r="M7" s="585">
        <f t="shared" si="0"/>
        <v>1554476882.145</v>
      </c>
      <c r="N7" s="585">
        <v>0</v>
      </c>
      <c r="O7" s="585">
        <f>M7*(1+6.4%)</f>
        <v>1653963402.6022801</v>
      </c>
      <c r="P7" s="585">
        <v>0</v>
      </c>
      <c r="Q7" s="585">
        <f t="shared" si="1"/>
        <v>1720121938.7063713</v>
      </c>
      <c r="R7" s="585">
        <v>0</v>
      </c>
      <c r="S7" s="588">
        <f t="shared" si="2"/>
        <v>6348175814.4536514</v>
      </c>
      <c r="T7" s="347" t="s">
        <v>1258</v>
      </c>
      <c r="U7" s="780">
        <f t="shared" si="3"/>
        <v>6348175814.4536514</v>
      </c>
      <c r="V7" s="780">
        <v>0</v>
      </c>
      <c r="W7" s="780">
        <v>0</v>
      </c>
      <c r="X7" s="576" t="s">
        <v>1276</v>
      </c>
    </row>
    <row r="8" spans="2:24" ht="76.5">
      <c r="B8" s="954" t="s">
        <v>755</v>
      </c>
      <c r="C8" s="575" t="s">
        <v>865</v>
      </c>
      <c r="D8" s="954" t="s">
        <v>1440</v>
      </c>
      <c r="E8" s="886" t="s">
        <v>581</v>
      </c>
      <c r="F8" s="888" t="s">
        <v>582</v>
      </c>
      <c r="G8" s="914">
        <v>1</v>
      </c>
      <c r="H8" s="939" t="s">
        <v>562</v>
      </c>
      <c r="I8" s="409" t="s">
        <v>1363</v>
      </c>
      <c r="J8" s="718">
        <v>34</v>
      </c>
      <c r="K8" s="583">
        <f>((5399642755)*(1+7.26%)+12360397068)+1837866409*(1+7.26%)+1071179501+348434090</f>
        <v>21542962988.3064</v>
      </c>
      <c r="L8" s="583">
        <v>0</v>
      </c>
      <c r="M8" s="583">
        <f t="shared" si="0"/>
        <v>23589544472.195507</v>
      </c>
      <c r="N8" s="583">
        <v>0</v>
      </c>
      <c r="O8" s="583">
        <f>M8*(1+6.6%)</f>
        <v>25146454407.360413</v>
      </c>
      <c r="P8" s="583">
        <v>0</v>
      </c>
      <c r="Q8" s="583">
        <f t="shared" si="1"/>
        <v>26152312583.654831</v>
      </c>
      <c r="R8" s="583">
        <v>0</v>
      </c>
      <c r="S8" s="581">
        <f t="shared" si="2"/>
        <v>96431274451.517151</v>
      </c>
      <c r="T8" s="409" t="s">
        <v>1181</v>
      </c>
      <c r="U8" s="580">
        <f t="shared" si="3"/>
        <v>96431274451.517151</v>
      </c>
      <c r="V8" s="580">
        <v>0</v>
      </c>
      <c r="W8" s="580">
        <v>0</v>
      </c>
      <c r="X8" s="576" t="s">
        <v>1265</v>
      </c>
    </row>
    <row r="9" spans="2:24" ht="76.5">
      <c r="B9" s="955"/>
      <c r="C9" s="575"/>
      <c r="D9" s="955"/>
      <c r="E9" s="904"/>
      <c r="F9" s="908"/>
      <c r="G9" s="916"/>
      <c r="H9" s="940"/>
      <c r="I9" s="409" t="s">
        <v>1441</v>
      </c>
      <c r="J9" s="718">
        <v>20</v>
      </c>
      <c r="K9" s="583">
        <f>((5399642755)*(1+7.26%)+12360397068)+1837866409*(1+7.26%)+1071179501+348434090</f>
        <v>21542962988.3064</v>
      </c>
      <c r="L9" s="583">
        <v>0</v>
      </c>
      <c r="M9" s="583">
        <f t="shared" si="0"/>
        <v>23589544472.195507</v>
      </c>
      <c r="N9" s="583">
        <v>0</v>
      </c>
      <c r="O9" s="583">
        <f>M9*(1+6.6%)</f>
        <v>25146454407.360413</v>
      </c>
      <c r="P9" s="583">
        <v>0</v>
      </c>
      <c r="Q9" s="583">
        <f t="shared" si="1"/>
        <v>26152312583.654831</v>
      </c>
      <c r="R9" s="583">
        <v>0</v>
      </c>
      <c r="S9" s="581">
        <f t="shared" si="2"/>
        <v>96431274451.517151</v>
      </c>
      <c r="T9" s="409" t="s">
        <v>1181</v>
      </c>
      <c r="U9" s="580">
        <f t="shared" si="3"/>
        <v>96431274451.517151</v>
      </c>
      <c r="V9" s="580"/>
      <c r="W9" s="580"/>
      <c r="X9" s="576"/>
    </row>
    <row r="10" spans="2:24" ht="99" customHeight="1">
      <c r="B10" s="956"/>
      <c r="C10" s="575" t="s">
        <v>865</v>
      </c>
      <c r="D10" s="956"/>
      <c r="E10" s="887"/>
      <c r="F10" s="889"/>
      <c r="G10" s="718">
        <v>2</v>
      </c>
      <c r="H10" s="409" t="s">
        <v>563</v>
      </c>
      <c r="I10" s="409" t="s">
        <v>758</v>
      </c>
      <c r="J10" s="718">
        <v>4</v>
      </c>
      <c r="K10" s="583">
        <f>(5399642755)*(1+7.26%)+12360397068+1837866409*(1+7.26%)+K7</f>
        <v>21542962988.3064</v>
      </c>
      <c r="L10" s="583">
        <v>0</v>
      </c>
      <c r="M10" s="583">
        <f t="shared" si="0"/>
        <v>23589544472.195507</v>
      </c>
      <c r="N10" s="583">
        <v>0</v>
      </c>
      <c r="O10" s="583">
        <f>M10*(1+6.6%)</f>
        <v>25146454407.360413</v>
      </c>
      <c r="P10" s="583">
        <v>0</v>
      </c>
      <c r="Q10" s="583">
        <f t="shared" si="1"/>
        <v>26152312583.654831</v>
      </c>
      <c r="R10" s="583">
        <v>0</v>
      </c>
      <c r="S10" s="581">
        <f t="shared" si="2"/>
        <v>96431274451.517151</v>
      </c>
      <c r="T10" s="409" t="s">
        <v>1439</v>
      </c>
      <c r="U10" s="580">
        <f t="shared" si="3"/>
        <v>96431274451.517151</v>
      </c>
      <c r="V10" s="580">
        <v>0</v>
      </c>
      <c r="W10" s="580">
        <v>0</v>
      </c>
      <c r="X10" s="576" t="s">
        <v>1276</v>
      </c>
    </row>
    <row r="11" spans="2:24" ht="232.5" customHeight="1">
      <c r="B11" s="957" t="s">
        <v>853</v>
      </c>
      <c r="C11" s="562" t="s">
        <v>856</v>
      </c>
      <c r="D11" s="957" t="s">
        <v>1440</v>
      </c>
      <c r="E11" s="877" t="s">
        <v>585</v>
      </c>
      <c r="F11" s="880" t="s">
        <v>858</v>
      </c>
      <c r="G11" s="626">
        <v>1</v>
      </c>
      <c r="H11" s="753" t="s">
        <v>564</v>
      </c>
      <c r="I11" s="969" t="s">
        <v>523</v>
      </c>
      <c r="J11" s="892">
        <v>0.5</v>
      </c>
      <c r="K11" s="584">
        <v>248245624</v>
      </c>
      <c r="L11" s="584">
        <v>0</v>
      </c>
      <c r="M11" s="584">
        <v>0</v>
      </c>
      <c r="N11" s="584">
        <v>0</v>
      </c>
      <c r="O11" s="584">
        <v>0</v>
      </c>
      <c r="P11" s="584">
        <v>0</v>
      </c>
      <c r="Q11" s="584">
        <v>0</v>
      </c>
      <c r="R11" s="584">
        <v>0</v>
      </c>
      <c r="S11" s="582">
        <f t="shared" si="2"/>
        <v>248245624</v>
      </c>
      <c r="T11" s="347" t="s">
        <v>1182</v>
      </c>
      <c r="U11" s="779">
        <f>K11</f>
        <v>248245624</v>
      </c>
      <c r="V11" s="779">
        <v>0</v>
      </c>
      <c r="W11" s="779">
        <v>0</v>
      </c>
      <c r="X11" s="576" t="s">
        <v>1276</v>
      </c>
    </row>
    <row r="12" spans="2:24" ht="93" customHeight="1">
      <c r="B12" s="959"/>
      <c r="C12" s="562" t="s">
        <v>856</v>
      </c>
      <c r="D12" s="959"/>
      <c r="E12" s="879"/>
      <c r="F12" s="882"/>
      <c r="G12" s="626">
        <v>2</v>
      </c>
      <c r="H12" s="753" t="s">
        <v>964</v>
      </c>
      <c r="I12" s="970"/>
      <c r="J12" s="893"/>
      <c r="K12" s="584">
        <f>(5399642755)*(1+7.26%)+12360397068+1837866409*(1+7.26%)</f>
        <v>20123349397.3064</v>
      </c>
      <c r="L12" s="584">
        <v>0</v>
      </c>
      <c r="M12" s="584">
        <f>K12*(1+9.5%)</f>
        <v>22035067590.050507</v>
      </c>
      <c r="N12" s="584">
        <v>0</v>
      </c>
      <c r="O12" s="584">
        <f>M12*(1+6.6%)</f>
        <v>23489382050.993843</v>
      </c>
      <c r="P12" s="584">
        <v>0</v>
      </c>
      <c r="Q12" s="584">
        <f>O12*(1+4%)</f>
        <v>24428957333.033596</v>
      </c>
      <c r="R12" s="584">
        <v>0</v>
      </c>
      <c r="S12" s="582">
        <f t="shared" si="2"/>
        <v>90076756371.384338</v>
      </c>
      <c r="T12" s="347" t="s">
        <v>1183</v>
      </c>
      <c r="U12" s="779">
        <f>S12</f>
        <v>90076756371.384338</v>
      </c>
      <c r="V12" s="779">
        <v>0</v>
      </c>
      <c r="W12" s="779">
        <v>0</v>
      </c>
      <c r="X12" s="576" t="s">
        <v>1265</v>
      </c>
    </row>
    <row r="13" spans="2:24" ht="90.75" customHeight="1">
      <c r="B13" s="954" t="s">
        <v>757</v>
      </c>
      <c r="C13" s="563" t="s">
        <v>868</v>
      </c>
      <c r="D13" s="954" t="s">
        <v>1440</v>
      </c>
      <c r="E13" s="886" t="s">
        <v>586</v>
      </c>
      <c r="F13" s="888" t="s">
        <v>961</v>
      </c>
      <c r="G13" s="718">
        <v>1</v>
      </c>
      <c r="H13" s="409" t="s">
        <v>1364</v>
      </c>
      <c r="I13" s="409" t="s">
        <v>1495</v>
      </c>
      <c r="J13" s="495">
        <v>1</v>
      </c>
      <c r="K13" s="583">
        <f>(5399642755)*(1+7.26%)+12360397068+1837866409*(1+7.26%)</f>
        <v>20123349397.3064</v>
      </c>
      <c r="L13" s="583">
        <v>0</v>
      </c>
      <c r="M13" s="583">
        <f>K13*(1+9.5%)</f>
        <v>22035067590.050507</v>
      </c>
      <c r="N13" s="583">
        <v>0</v>
      </c>
      <c r="O13" s="583">
        <f>M13*(1+6.6%)</f>
        <v>23489382050.993843</v>
      </c>
      <c r="P13" s="583">
        <v>0</v>
      </c>
      <c r="Q13" s="583">
        <f>O13*(1+4%)</f>
        <v>24428957333.033596</v>
      </c>
      <c r="R13" s="583">
        <v>0</v>
      </c>
      <c r="S13" s="581">
        <f t="shared" si="2"/>
        <v>90076756371.384338</v>
      </c>
      <c r="T13" s="409" t="s">
        <v>1184</v>
      </c>
      <c r="U13" s="580">
        <f>+S13</f>
        <v>90076756371.384338</v>
      </c>
      <c r="V13" s="580">
        <v>0</v>
      </c>
      <c r="W13" s="580">
        <v>0</v>
      </c>
      <c r="X13" s="576" t="s">
        <v>1283</v>
      </c>
    </row>
    <row r="14" spans="2:24" ht="83.25" customHeight="1">
      <c r="B14" s="956"/>
      <c r="C14" s="563" t="s">
        <v>868</v>
      </c>
      <c r="D14" s="956"/>
      <c r="E14" s="887"/>
      <c r="F14" s="889"/>
      <c r="G14" s="718">
        <v>2</v>
      </c>
      <c r="H14" s="409" t="s">
        <v>1293</v>
      </c>
      <c r="I14" s="409" t="s">
        <v>1496</v>
      </c>
      <c r="J14" s="495">
        <v>1</v>
      </c>
      <c r="K14" s="583">
        <f>(167857834+45379417+136138248)*(1+7.26%)</f>
        <v>374740160.2274</v>
      </c>
      <c r="L14" s="583">
        <v>0</v>
      </c>
      <c r="M14" s="583">
        <f>K14*(1+9.5%)</f>
        <v>410340475.44900298</v>
      </c>
      <c r="N14" s="583">
        <v>0</v>
      </c>
      <c r="O14" s="583">
        <f>M14*(1+6.6%)</f>
        <v>437422946.82863718</v>
      </c>
      <c r="P14" s="583">
        <v>0</v>
      </c>
      <c r="Q14" s="583">
        <f>O14*(1+4%)</f>
        <v>454919864.7017827</v>
      </c>
      <c r="R14" s="583">
        <v>0</v>
      </c>
      <c r="S14" s="581">
        <f t="shared" si="2"/>
        <v>1677423447.2068229</v>
      </c>
      <c r="T14" s="409" t="s">
        <v>1185</v>
      </c>
      <c r="U14" s="580">
        <f>+S14</f>
        <v>1677423447.2068229</v>
      </c>
      <c r="V14" s="580">
        <v>0</v>
      </c>
      <c r="W14" s="580">
        <v>0</v>
      </c>
      <c r="X14" s="576" t="s">
        <v>1265</v>
      </c>
    </row>
    <row r="15" spans="2:24" ht="76.5">
      <c r="B15" s="957" t="s">
        <v>1131</v>
      </c>
      <c r="C15" s="562" t="s">
        <v>880</v>
      </c>
      <c r="D15" s="957" t="s">
        <v>1440</v>
      </c>
      <c r="E15" s="877" t="s">
        <v>587</v>
      </c>
      <c r="F15" s="880" t="s">
        <v>734</v>
      </c>
      <c r="G15" s="626">
        <v>1</v>
      </c>
      <c r="H15" s="753" t="s">
        <v>1210</v>
      </c>
      <c r="I15" s="347" t="s">
        <v>827</v>
      </c>
      <c r="J15" s="408">
        <v>1</v>
      </c>
      <c r="K15" s="584">
        <f>1071179501+348434090</f>
        <v>1419613591</v>
      </c>
      <c r="L15" s="584">
        <v>0</v>
      </c>
      <c r="M15" s="584">
        <f>K15*(1+9.5%)</f>
        <v>1554476882.145</v>
      </c>
      <c r="N15" s="584">
        <v>0</v>
      </c>
      <c r="O15" s="584">
        <f>M15*(1+6.6%)</f>
        <v>1657072356.36657</v>
      </c>
      <c r="P15" s="584">
        <v>0</v>
      </c>
      <c r="Q15" s="584">
        <f>O15*(1+4%)</f>
        <v>1723355250.6212327</v>
      </c>
      <c r="R15" s="584">
        <v>0</v>
      </c>
      <c r="S15" s="582">
        <f t="shared" si="2"/>
        <v>6354518080.132803</v>
      </c>
      <c r="T15" s="347" t="s">
        <v>1180</v>
      </c>
      <c r="U15" s="779">
        <f>S15</f>
        <v>6354518080.132803</v>
      </c>
      <c r="V15" s="779">
        <v>0</v>
      </c>
      <c r="W15" s="779">
        <v>0</v>
      </c>
      <c r="X15" s="576" t="s">
        <v>1276</v>
      </c>
    </row>
    <row r="16" spans="2:24" ht="207" customHeight="1">
      <c r="B16" s="959"/>
      <c r="C16" s="562" t="s">
        <v>880</v>
      </c>
      <c r="D16" s="959"/>
      <c r="E16" s="879"/>
      <c r="F16" s="882"/>
      <c r="G16" s="626">
        <v>2</v>
      </c>
      <c r="H16" s="753" t="s">
        <v>1294</v>
      </c>
      <c r="I16" s="347" t="s">
        <v>524</v>
      </c>
      <c r="J16" s="434">
        <v>120</v>
      </c>
      <c r="K16" s="584">
        <v>0</v>
      </c>
      <c r="L16" s="584">
        <v>0</v>
      </c>
      <c r="M16" s="584">
        <v>9276306823</v>
      </c>
      <c r="N16" s="584">
        <v>0</v>
      </c>
      <c r="O16" s="584">
        <v>9740122164</v>
      </c>
      <c r="P16" s="584">
        <v>0</v>
      </c>
      <c r="Q16" s="584">
        <v>0</v>
      </c>
      <c r="R16" s="584">
        <v>0</v>
      </c>
      <c r="S16" s="582">
        <f t="shared" si="2"/>
        <v>19016428987</v>
      </c>
      <c r="T16" s="347" t="s">
        <v>1322</v>
      </c>
      <c r="U16" s="779">
        <f>+S16</f>
        <v>19016428987</v>
      </c>
      <c r="V16" s="779">
        <v>0</v>
      </c>
      <c r="W16" s="779">
        <v>0</v>
      </c>
      <c r="X16" s="576" t="s">
        <v>1265</v>
      </c>
    </row>
    <row r="17" spans="2:24" ht="280.5">
      <c r="B17" s="954" t="s">
        <v>757</v>
      </c>
      <c r="C17" s="954" t="s">
        <v>859</v>
      </c>
      <c r="D17" s="954" t="s">
        <v>1440</v>
      </c>
      <c r="E17" s="886" t="s">
        <v>588</v>
      </c>
      <c r="F17" s="888" t="s">
        <v>1442</v>
      </c>
      <c r="G17" s="718">
        <v>1</v>
      </c>
      <c r="H17" s="776" t="s">
        <v>1443</v>
      </c>
      <c r="I17" s="606" t="s">
        <v>1352</v>
      </c>
      <c r="J17" s="718">
        <v>3</v>
      </c>
      <c r="K17" s="583">
        <f>11*((5641946*2+4325493)+7522595+2*2257824*(1+7.26%))</f>
        <v>307730104.4928</v>
      </c>
      <c r="L17" s="583"/>
      <c r="M17" s="583">
        <f>+K17*(1+9.5%)+1052094747</f>
        <v>1389059211.419616</v>
      </c>
      <c r="N17" s="726">
        <v>2116139534</v>
      </c>
      <c r="O17" s="583">
        <f>(M17*1.066*2)+1002361090+1234422448</f>
        <v>5198257776.7466221</v>
      </c>
      <c r="P17" s="583">
        <v>2660195242</v>
      </c>
      <c r="Q17" s="583">
        <f>(O17*1.04+373572283)+2657159659+1295613490</f>
        <v>9732533519.8164864</v>
      </c>
      <c r="R17" s="726">
        <v>171472726.32083333</v>
      </c>
      <c r="S17" s="581">
        <f t="shared" si="2"/>
        <v>21575388114.79636</v>
      </c>
      <c r="T17" s="409" t="s">
        <v>1492</v>
      </c>
      <c r="U17" s="580">
        <f>+S17-W17-V17</f>
        <v>9385929178.4755268</v>
      </c>
      <c r="V17" s="555">
        <f>+N17+P17+R17+1052094747+1234422448+1295613490</f>
        <v>8529938187.3208332</v>
      </c>
      <c r="W17" s="555">
        <f>1002361090+2657159659</f>
        <v>3659520749</v>
      </c>
      <c r="X17" s="576" t="s">
        <v>1265</v>
      </c>
    </row>
    <row r="18" spans="2:24" ht="38.25">
      <c r="B18" s="956"/>
      <c r="C18" s="956"/>
      <c r="D18" s="956"/>
      <c r="E18" s="904"/>
      <c r="F18" s="908"/>
      <c r="G18" s="718">
        <v>2</v>
      </c>
      <c r="H18" s="776" t="s">
        <v>1444</v>
      </c>
      <c r="I18" s="409" t="s">
        <v>1497</v>
      </c>
      <c r="J18" s="718">
        <v>3</v>
      </c>
      <c r="K18" s="583"/>
      <c r="L18" s="583"/>
      <c r="M18" s="583"/>
      <c r="N18" s="583"/>
      <c r="O18" s="583"/>
      <c r="P18" s="583"/>
      <c r="Q18" s="583"/>
      <c r="R18" s="583"/>
      <c r="S18" s="581">
        <f t="shared" si="2"/>
        <v>0</v>
      </c>
      <c r="T18" s="409"/>
      <c r="U18" s="580">
        <f>+K18</f>
        <v>0</v>
      </c>
      <c r="V18" s="580">
        <v>0</v>
      </c>
      <c r="W18" s="580">
        <f>+S18-U18</f>
        <v>0</v>
      </c>
      <c r="X18" s="576" t="s">
        <v>1265</v>
      </c>
    </row>
    <row r="19" spans="2:24" ht="128.25">
      <c r="B19" s="562" t="s">
        <v>757</v>
      </c>
      <c r="C19" s="562" t="s">
        <v>1149</v>
      </c>
      <c r="D19" s="562" t="s">
        <v>1440</v>
      </c>
      <c r="E19" s="751" t="s">
        <v>589</v>
      </c>
      <c r="F19" s="638" t="s">
        <v>1485</v>
      </c>
      <c r="G19" s="344">
        <v>1</v>
      </c>
      <c r="H19" s="345" t="s">
        <v>593</v>
      </c>
      <c r="I19" s="347" t="s">
        <v>962</v>
      </c>
      <c r="J19" s="344">
        <v>3</v>
      </c>
      <c r="K19" s="584">
        <v>0</v>
      </c>
      <c r="L19" s="584">
        <v>0</v>
      </c>
      <c r="M19" s="584">
        <f>302967934*(1+8.5%)</f>
        <v>328720208.38999999</v>
      </c>
      <c r="N19" s="584">
        <f>140931349*(1+8.5%)</f>
        <v>152910513.66499999</v>
      </c>
      <c r="O19" s="584">
        <f>427875972*(1+5.6%)</f>
        <v>451837026.43200004</v>
      </c>
      <c r="P19" s="584">
        <f>294853396*(1+5.6%)</f>
        <v>311365186.176</v>
      </c>
      <c r="Q19" s="584">
        <f>580945307*(1+3%)+328720208</f>
        <v>927093874.21000004</v>
      </c>
      <c r="R19" s="584">
        <f>306034429*(1+3%)+152910514</f>
        <v>468125975.87</v>
      </c>
      <c r="S19" s="582">
        <f t="shared" si="2"/>
        <v>2640052784.743</v>
      </c>
      <c r="T19" s="428" t="s">
        <v>1323</v>
      </c>
      <c r="U19" s="779">
        <v>0</v>
      </c>
      <c r="V19" s="779">
        <v>0</v>
      </c>
      <c r="W19" s="779">
        <f>+S19</f>
        <v>2640052784.743</v>
      </c>
      <c r="X19" s="576" t="s">
        <v>1265</v>
      </c>
    </row>
    <row r="20" spans="2:24" ht="76.5">
      <c r="B20" s="765" t="s">
        <v>1130</v>
      </c>
      <c r="C20" s="563" t="s">
        <v>1150</v>
      </c>
      <c r="D20" s="765" t="s">
        <v>1440</v>
      </c>
      <c r="E20" s="765" t="s">
        <v>591</v>
      </c>
      <c r="F20" s="770" t="s">
        <v>1295</v>
      </c>
      <c r="G20" s="574">
        <v>1</v>
      </c>
      <c r="H20" s="409" t="s">
        <v>565</v>
      </c>
      <c r="I20" s="409" t="s">
        <v>746</v>
      </c>
      <c r="J20" s="495">
        <v>1</v>
      </c>
      <c r="K20" s="583">
        <v>82748545</v>
      </c>
      <c r="L20" s="583">
        <v>0</v>
      </c>
      <c r="M20" s="583">
        <f>+K20*(1+9.5%)</f>
        <v>90609656.774999991</v>
      </c>
      <c r="N20" s="583">
        <v>0</v>
      </c>
      <c r="O20" s="583">
        <v>0</v>
      </c>
      <c r="P20" s="583">
        <v>0</v>
      </c>
      <c r="Q20" s="583">
        <v>0</v>
      </c>
      <c r="R20" s="583">
        <v>0</v>
      </c>
      <c r="S20" s="581">
        <f t="shared" si="2"/>
        <v>173358201.77499998</v>
      </c>
      <c r="T20" s="556" t="s">
        <v>1264</v>
      </c>
      <c r="U20" s="580">
        <f>+S20</f>
        <v>173358201.77499998</v>
      </c>
      <c r="V20" s="580">
        <v>0</v>
      </c>
      <c r="W20" s="580">
        <v>0</v>
      </c>
      <c r="X20" s="576" t="s">
        <v>1276</v>
      </c>
    </row>
    <row r="21" spans="2:24" ht="89.25">
      <c r="B21" s="562" t="s">
        <v>757</v>
      </c>
      <c r="C21" s="562" t="s">
        <v>865</v>
      </c>
      <c r="D21" s="562" t="s">
        <v>1440</v>
      </c>
      <c r="E21" s="751" t="s">
        <v>594</v>
      </c>
      <c r="F21" s="638" t="s">
        <v>596</v>
      </c>
      <c r="G21" s="626">
        <v>1</v>
      </c>
      <c r="H21" s="345" t="s">
        <v>1371</v>
      </c>
      <c r="I21" s="347" t="s">
        <v>1498</v>
      </c>
      <c r="J21" s="408">
        <v>1</v>
      </c>
      <c r="K21" s="584">
        <v>0</v>
      </c>
      <c r="L21" s="584">
        <v>0</v>
      </c>
      <c r="M21" s="584">
        <v>0</v>
      </c>
      <c r="N21" s="584">
        <v>0</v>
      </c>
      <c r="O21" s="584">
        <v>220376456.18716002</v>
      </c>
      <c r="P21" s="584">
        <v>0</v>
      </c>
      <c r="Q21" s="584">
        <f>+O21*(1+4%)</f>
        <v>229191514.43464643</v>
      </c>
      <c r="R21" s="584">
        <v>0</v>
      </c>
      <c r="S21" s="582">
        <f t="shared" si="2"/>
        <v>449567970.62180644</v>
      </c>
      <c r="T21" s="80" t="s">
        <v>1187</v>
      </c>
      <c r="U21" s="779">
        <v>0</v>
      </c>
      <c r="V21" s="779">
        <f>+S21</f>
        <v>449567970.62180644</v>
      </c>
      <c r="W21" s="779">
        <v>0</v>
      </c>
      <c r="X21" s="576" t="s">
        <v>1265</v>
      </c>
    </row>
    <row r="22" spans="2:24" ht="140.25">
      <c r="B22" s="954" t="s">
        <v>849</v>
      </c>
      <c r="C22" s="563" t="s">
        <v>883</v>
      </c>
      <c r="D22" s="954" t="s">
        <v>1440</v>
      </c>
      <c r="E22" s="886" t="s">
        <v>595</v>
      </c>
      <c r="F22" s="888" t="s">
        <v>1172</v>
      </c>
      <c r="G22" s="496">
        <v>1</v>
      </c>
      <c r="H22" s="504" t="s">
        <v>1297</v>
      </c>
      <c r="I22" s="506" t="s">
        <v>1298</v>
      </c>
      <c r="J22" s="505">
        <v>1</v>
      </c>
      <c r="K22" s="583">
        <v>0</v>
      </c>
      <c r="L22" s="583">
        <v>968000000</v>
      </c>
      <c r="M22" s="583">
        <v>0</v>
      </c>
      <c r="N22" s="583">
        <v>872000000</v>
      </c>
      <c r="O22" s="583">
        <v>0</v>
      </c>
      <c r="P22" s="583">
        <v>995000000</v>
      </c>
      <c r="Q22" s="583">
        <v>0</v>
      </c>
      <c r="R22" s="583">
        <v>0</v>
      </c>
      <c r="S22" s="581">
        <f t="shared" si="2"/>
        <v>2835000000</v>
      </c>
      <c r="T22" s="556" t="s">
        <v>1324</v>
      </c>
      <c r="U22" s="580">
        <f>+L22</f>
        <v>968000000</v>
      </c>
      <c r="V22" s="580">
        <f>+S22-U22</f>
        <v>1867000000</v>
      </c>
      <c r="W22" s="580"/>
      <c r="X22" s="576" t="s">
        <v>1265</v>
      </c>
    </row>
    <row r="23" spans="2:24" ht="89.25">
      <c r="B23" s="956"/>
      <c r="C23" s="563" t="s">
        <v>883</v>
      </c>
      <c r="D23" s="956"/>
      <c r="E23" s="887"/>
      <c r="F23" s="889"/>
      <c r="G23" s="718">
        <v>2</v>
      </c>
      <c r="H23" s="409" t="s">
        <v>851</v>
      </c>
      <c r="I23" s="509" t="s">
        <v>1499</v>
      </c>
      <c r="J23" s="505">
        <v>1</v>
      </c>
      <c r="K23" s="583">
        <f>1071179501</f>
        <v>1071179501</v>
      </c>
      <c r="L23" s="583">
        <v>0</v>
      </c>
      <c r="M23" s="583">
        <f>K23*(1+9.5%)</f>
        <v>1172941553.595</v>
      </c>
      <c r="N23" s="583">
        <v>0</v>
      </c>
      <c r="O23" s="583">
        <v>0</v>
      </c>
      <c r="P23" s="583">
        <v>0</v>
      </c>
      <c r="Q23" s="583">
        <v>0</v>
      </c>
      <c r="R23" s="583">
        <v>0</v>
      </c>
      <c r="S23" s="581">
        <f t="shared" si="2"/>
        <v>2244121054.5950003</v>
      </c>
      <c r="T23" s="409" t="s">
        <v>1259</v>
      </c>
      <c r="U23" s="580">
        <f>+S23</f>
        <v>2244121054.5950003</v>
      </c>
      <c r="V23" s="580">
        <v>0</v>
      </c>
      <c r="W23" s="580">
        <v>0</v>
      </c>
      <c r="X23" s="576" t="s">
        <v>1276</v>
      </c>
    </row>
    <row r="24" spans="2:24" ht="51" customHeight="1">
      <c r="B24" s="957" t="s">
        <v>1136</v>
      </c>
      <c r="C24" s="562" t="s">
        <v>866</v>
      </c>
      <c r="D24" s="957" t="s">
        <v>575</v>
      </c>
      <c r="E24" s="877" t="s">
        <v>600</v>
      </c>
      <c r="F24" s="880" t="s">
        <v>1299</v>
      </c>
      <c r="G24" s="626">
        <v>1</v>
      </c>
      <c r="H24" s="753" t="s">
        <v>601</v>
      </c>
      <c r="I24" s="445" t="s">
        <v>749</v>
      </c>
      <c r="J24" s="408">
        <v>1</v>
      </c>
      <c r="K24" s="585">
        <v>0</v>
      </c>
      <c r="L24" s="585">
        <v>0</v>
      </c>
      <c r="M24" s="585">
        <v>0</v>
      </c>
      <c r="N24" s="585">
        <v>0</v>
      </c>
      <c r="O24" s="585">
        <v>0</v>
      </c>
      <c r="P24" s="585">
        <v>0</v>
      </c>
      <c r="Q24" s="585">
        <v>0</v>
      </c>
      <c r="R24" s="585">
        <v>0</v>
      </c>
      <c r="S24" s="588">
        <f t="shared" si="2"/>
        <v>0</v>
      </c>
      <c r="T24" s="347" t="s">
        <v>1325</v>
      </c>
      <c r="U24" s="780">
        <v>0</v>
      </c>
      <c r="V24" s="780">
        <v>0</v>
      </c>
      <c r="W24" s="780">
        <v>0</v>
      </c>
      <c r="X24" s="576"/>
    </row>
    <row r="25" spans="2:24" ht="63.75">
      <c r="B25" s="958"/>
      <c r="C25" s="562" t="s">
        <v>866</v>
      </c>
      <c r="D25" s="958"/>
      <c r="E25" s="878"/>
      <c r="F25" s="881"/>
      <c r="G25" s="626">
        <v>2</v>
      </c>
      <c r="H25" s="753" t="s">
        <v>1300</v>
      </c>
      <c r="I25" s="445" t="s">
        <v>761</v>
      </c>
      <c r="J25" s="408">
        <v>1</v>
      </c>
      <c r="K25" s="585">
        <v>0</v>
      </c>
      <c r="L25" s="585">
        <v>0</v>
      </c>
      <c r="M25" s="585">
        <v>0</v>
      </c>
      <c r="N25" s="585">
        <v>0</v>
      </c>
      <c r="O25" s="585">
        <v>0</v>
      </c>
      <c r="P25" s="585">
        <v>0</v>
      </c>
      <c r="Q25" s="585">
        <v>0</v>
      </c>
      <c r="R25" s="585">
        <v>0</v>
      </c>
      <c r="S25" s="588">
        <f t="shared" si="2"/>
        <v>0</v>
      </c>
      <c r="T25" s="347" t="s">
        <v>1325</v>
      </c>
      <c r="U25" s="780">
        <v>0</v>
      </c>
      <c r="V25" s="780">
        <v>0</v>
      </c>
      <c r="W25" s="780">
        <v>0</v>
      </c>
      <c r="X25" s="576"/>
    </row>
    <row r="26" spans="2:24" ht="51">
      <c r="B26" s="959"/>
      <c r="C26" s="562" t="s">
        <v>866</v>
      </c>
      <c r="D26" s="959"/>
      <c r="E26" s="879"/>
      <c r="F26" s="882"/>
      <c r="G26" s="626">
        <v>3</v>
      </c>
      <c r="H26" s="753" t="s">
        <v>603</v>
      </c>
      <c r="I26" s="445" t="s">
        <v>1301</v>
      </c>
      <c r="J26" s="408">
        <v>1</v>
      </c>
      <c r="K26" s="585">
        <v>0</v>
      </c>
      <c r="L26" s="585">
        <v>0</v>
      </c>
      <c r="M26" s="585">
        <v>0</v>
      </c>
      <c r="N26" s="585">
        <v>0</v>
      </c>
      <c r="O26" s="585">
        <v>0</v>
      </c>
      <c r="P26" s="585">
        <v>0</v>
      </c>
      <c r="Q26" s="585">
        <v>0</v>
      </c>
      <c r="R26" s="585">
        <v>0</v>
      </c>
      <c r="S26" s="588">
        <f t="shared" si="2"/>
        <v>0</v>
      </c>
      <c r="T26" s="347" t="s">
        <v>1325</v>
      </c>
      <c r="U26" s="780">
        <v>0</v>
      </c>
      <c r="V26" s="780">
        <v>0</v>
      </c>
      <c r="W26" s="780">
        <v>0</v>
      </c>
      <c r="X26" s="576"/>
    </row>
    <row r="27" spans="2:24" ht="51" customHeight="1">
      <c r="B27" s="954" t="s">
        <v>1135</v>
      </c>
      <c r="C27" s="563" t="s">
        <v>1144</v>
      </c>
      <c r="D27" s="954" t="s">
        <v>575</v>
      </c>
      <c r="E27" s="886" t="s">
        <v>604</v>
      </c>
      <c r="F27" s="888" t="s">
        <v>609</v>
      </c>
      <c r="G27" s="718">
        <v>1</v>
      </c>
      <c r="H27" s="409" t="s">
        <v>1372</v>
      </c>
      <c r="I27" s="409" t="s">
        <v>1027</v>
      </c>
      <c r="J27" s="495">
        <v>1</v>
      </c>
      <c r="K27" s="583">
        <v>0</v>
      </c>
      <c r="L27" s="583">
        <v>0</v>
      </c>
      <c r="M27" s="583">
        <v>0</v>
      </c>
      <c r="N27" s="583">
        <v>0</v>
      </c>
      <c r="O27" s="583">
        <v>0</v>
      </c>
      <c r="P27" s="583">
        <v>0</v>
      </c>
      <c r="Q27" s="583">
        <v>0</v>
      </c>
      <c r="R27" s="583">
        <v>0</v>
      </c>
      <c r="S27" s="581">
        <f t="shared" si="2"/>
        <v>0</v>
      </c>
      <c r="T27" s="557" t="s">
        <v>1326</v>
      </c>
      <c r="U27" s="580">
        <v>0</v>
      </c>
      <c r="V27" s="580">
        <v>0</v>
      </c>
      <c r="W27" s="580">
        <v>0</v>
      </c>
      <c r="X27" s="576"/>
    </row>
    <row r="28" spans="2:24" ht="51">
      <c r="B28" s="956"/>
      <c r="C28" s="563" t="s">
        <v>1144</v>
      </c>
      <c r="D28" s="956"/>
      <c r="E28" s="887"/>
      <c r="F28" s="889"/>
      <c r="G28" s="718">
        <v>2</v>
      </c>
      <c r="H28" s="409" t="s">
        <v>867</v>
      </c>
      <c r="I28" s="409" t="s">
        <v>1500</v>
      </c>
      <c r="J28" s="495">
        <v>1</v>
      </c>
      <c r="K28" s="583">
        <v>0</v>
      </c>
      <c r="L28" s="583">
        <v>0</v>
      </c>
      <c r="M28" s="583">
        <v>0</v>
      </c>
      <c r="N28" s="583">
        <v>0</v>
      </c>
      <c r="O28" s="583">
        <v>0</v>
      </c>
      <c r="P28" s="583">
        <v>0</v>
      </c>
      <c r="Q28" s="583">
        <v>0</v>
      </c>
      <c r="R28" s="583">
        <v>0</v>
      </c>
      <c r="S28" s="581">
        <f t="shared" si="2"/>
        <v>0</v>
      </c>
      <c r="T28" s="557" t="s">
        <v>1326</v>
      </c>
      <c r="U28" s="580">
        <v>0</v>
      </c>
      <c r="V28" s="580">
        <v>0</v>
      </c>
      <c r="W28" s="580">
        <v>0</v>
      </c>
      <c r="X28" s="576"/>
    </row>
    <row r="29" spans="2:24" ht="99.75" customHeight="1">
      <c r="B29" s="957" t="s">
        <v>755</v>
      </c>
      <c r="C29" s="569" t="s">
        <v>885</v>
      </c>
      <c r="D29" s="957" t="s">
        <v>575</v>
      </c>
      <c r="E29" s="877" t="s">
        <v>605</v>
      </c>
      <c r="F29" s="880" t="s">
        <v>621</v>
      </c>
      <c r="G29" s="626">
        <v>1</v>
      </c>
      <c r="H29" s="753" t="s">
        <v>1029</v>
      </c>
      <c r="I29" s="384" t="s">
        <v>1501</v>
      </c>
      <c r="J29" s="411">
        <v>0.5</v>
      </c>
      <c r="K29" s="585">
        <v>0</v>
      </c>
      <c r="L29" s="585">
        <v>0</v>
      </c>
      <c r="M29" s="585">
        <v>0</v>
      </c>
      <c r="N29" s="585">
        <v>0</v>
      </c>
      <c r="O29" s="585">
        <v>0</v>
      </c>
      <c r="P29" s="585">
        <v>0</v>
      </c>
      <c r="Q29" s="585">
        <v>0</v>
      </c>
      <c r="R29" s="585">
        <v>0</v>
      </c>
      <c r="S29" s="588">
        <f t="shared" si="2"/>
        <v>0</v>
      </c>
      <c r="T29" s="589" t="s">
        <v>1202</v>
      </c>
      <c r="U29" s="780">
        <v>0</v>
      </c>
      <c r="V29" s="780">
        <v>0</v>
      </c>
      <c r="W29" s="780">
        <v>0</v>
      </c>
      <c r="X29" s="576"/>
    </row>
    <row r="30" spans="2:24" ht="76.5">
      <c r="B30" s="959"/>
      <c r="C30" s="569" t="s">
        <v>885</v>
      </c>
      <c r="D30" s="959"/>
      <c r="E30" s="879"/>
      <c r="F30" s="882"/>
      <c r="G30" s="752">
        <v>2</v>
      </c>
      <c r="H30" s="753" t="s">
        <v>1030</v>
      </c>
      <c r="I30" s="347" t="s">
        <v>1502</v>
      </c>
      <c r="J30" s="412">
        <v>0.3</v>
      </c>
      <c r="K30" s="585">
        <v>0</v>
      </c>
      <c r="L30" s="585">
        <v>0</v>
      </c>
      <c r="M30" s="585">
        <v>0</v>
      </c>
      <c r="N30" s="585">
        <v>0</v>
      </c>
      <c r="O30" s="585">
        <v>0</v>
      </c>
      <c r="P30" s="585">
        <v>0</v>
      </c>
      <c r="Q30" s="585">
        <v>0</v>
      </c>
      <c r="R30" s="585">
        <v>0</v>
      </c>
      <c r="S30" s="588">
        <f t="shared" si="2"/>
        <v>0</v>
      </c>
      <c r="T30" s="561" t="s">
        <v>1327</v>
      </c>
      <c r="U30" s="780">
        <v>0</v>
      </c>
      <c r="V30" s="780">
        <v>0</v>
      </c>
      <c r="W30" s="780">
        <v>0</v>
      </c>
      <c r="X30" s="576"/>
    </row>
    <row r="31" spans="2:24" ht="65.25" customHeight="1">
      <c r="B31" s="954" t="s">
        <v>755</v>
      </c>
      <c r="C31" s="563" t="s">
        <v>865</v>
      </c>
      <c r="D31" s="954" t="s">
        <v>575</v>
      </c>
      <c r="E31" s="886" t="s">
        <v>606</v>
      </c>
      <c r="F31" s="888" t="s">
        <v>719</v>
      </c>
      <c r="G31" s="718">
        <v>1</v>
      </c>
      <c r="H31" s="409" t="s">
        <v>1373</v>
      </c>
      <c r="I31" s="409" t="s">
        <v>1034</v>
      </c>
      <c r="J31" s="495">
        <v>1</v>
      </c>
      <c r="K31" s="583">
        <v>0</v>
      </c>
      <c r="L31" s="583">
        <v>0</v>
      </c>
      <c r="M31" s="583">
        <v>0</v>
      </c>
      <c r="N31" s="583">
        <v>0</v>
      </c>
      <c r="O31" s="583">
        <f>245762272+1073221086</f>
        <v>1318983358</v>
      </c>
      <c r="P31" s="583">
        <v>0</v>
      </c>
      <c r="Q31" s="583">
        <f>+O31*1.04</f>
        <v>1371742692.3199999</v>
      </c>
      <c r="R31" s="583">
        <v>0</v>
      </c>
      <c r="S31" s="581">
        <f t="shared" si="2"/>
        <v>2690726050.3199997</v>
      </c>
      <c r="T31" s="519" t="s">
        <v>1198</v>
      </c>
      <c r="U31" s="580">
        <v>0</v>
      </c>
      <c r="V31" s="580">
        <f>+S31</f>
        <v>2690726050.3199997</v>
      </c>
      <c r="W31" s="580">
        <v>0</v>
      </c>
      <c r="X31" s="576" t="s">
        <v>1265</v>
      </c>
    </row>
    <row r="32" spans="2:24" ht="38.25">
      <c r="B32" s="956"/>
      <c r="C32" s="563" t="s">
        <v>865</v>
      </c>
      <c r="D32" s="956"/>
      <c r="E32" s="887"/>
      <c r="F32" s="889"/>
      <c r="G32" s="718">
        <v>2</v>
      </c>
      <c r="H32" s="409" t="s">
        <v>751</v>
      </c>
      <c r="I32" s="409" t="s">
        <v>750</v>
      </c>
      <c r="J32" s="495">
        <v>1</v>
      </c>
      <c r="K32" s="583">
        <v>0</v>
      </c>
      <c r="L32" s="583">
        <v>0</v>
      </c>
      <c r="M32" s="583">
        <v>0</v>
      </c>
      <c r="N32" s="583">
        <v>0</v>
      </c>
      <c r="O32" s="583">
        <v>0</v>
      </c>
      <c r="P32" s="583">
        <v>0</v>
      </c>
      <c r="Q32" s="583">
        <v>0</v>
      </c>
      <c r="R32" s="583">
        <v>0</v>
      </c>
      <c r="S32" s="581">
        <f t="shared" si="2"/>
        <v>0</v>
      </c>
      <c r="T32" s="519" t="s">
        <v>1328</v>
      </c>
      <c r="U32" s="580">
        <v>0</v>
      </c>
      <c r="V32" s="580">
        <v>0</v>
      </c>
      <c r="W32" s="580">
        <v>0</v>
      </c>
      <c r="X32" s="576" t="s">
        <v>1276</v>
      </c>
    </row>
    <row r="33" spans="2:24" ht="51" customHeight="1">
      <c r="B33" s="957" t="s">
        <v>754</v>
      </c>
      <c r="C33" s="569" t="s">
        <v>865</v>
      </c>
      <c r="D33" s="957" t="s">
        <v>575</v>
      </c>
      <c r="E33" s="877" t="s">
        <v>607</v>
      </c>
      <c r="F33" s="880" t="s">
        <v>1302</v>
      </c>
      <c r="G33" s="626">
        <v>1</v>
      </c>
      <c r="H33" s="753" t="s">
        <v>1032</v>
      </c>
      <c r="I33" s="347" t="s">
        <v>1223</v>
      </c>
      <c r="J33" s="408">
        <v>1</v>
      </c>
      <c r="K33" s="585">
        <f>4039721152+834680185+532374911</f>
        <v>5406776248</v>
      </c>
      <c r="L33" s="585">
        <f>1152801000+267451847</f>
        <v>1420252847</v>
      </c>
      <c r="M33" s="584">
        <f>+K33*1.095</f>
        <v>5920419991.5599995</v>
      </c>
      <c r="N33" s="584">
        <v>0</v>
      </c>
      <c r="O33" s="584">
        <f>+M33*1.066</f>
        <v>6311167711.0029602</v>
      </c>
      <c r="P33" s="584">
        <v>0</v>
      </c>
      <c r="Q33" s="584">
        <f>+O33*1.04</f>
        <v>6563614419.443079</v>
      </c>
      <c r="R33" s="585">
        <v>0</v>
      </c>
      <c r="S33" s="588">
        <f t="shared" si="2"/>
        <v>25622231217.006035</v>
      </c>
      <c r="T33" s="436" t="s">
        <v>1260</v>
      </c>
      <c r="U33" s="780">
        <f>+S33</f>
        <v>25622231217.006035</v>
      </c>
      <c r="V33" s="780">
        <v>0</v>
      </c>
      <c r="W33" s="780">
        <v>0</v>
      </c>
      <c r="X33" s="576" t="s">
        <v>1275</v>
      </c>
    </row>
    <row r="34" spans="2:24" ht="63.75">
      <c r="B34" s="959"/>
      <c r="C34" s="569" t="s">
        <v>865</v>
      </c>
      <c r="D34" s="959"/>
      <c r="E34" s="879"/>
      <c r="F34" s="882"/>
      <c r="G34" s="626">
        <v>2</v>
      </c>
      <c r="H34" s="753" t="s">
        <v>1033</v>
      </c>
      <c r="I34" s="347" t="s">
        <v>1303</v>
      </c>
      <c r="J34" s="408">
        <v>0.5</v>
      </c>
      <c r="K34" s="584">
        <f>2571562921+209124281+205225901+30887032+30887032</f>
        <v>3047687167</v>
      </c>
      <c r="L34" s="584">
        <v>0</v>
      </c>
      <c r="M34" s="584">
        <f>+K34*1.095</f>
        <v>3337217447.8649998</v>
      </c>
      <c r="N34" s="584">
        <v>0</v>
      </c>
      <c r="O34" s="584">
        <f>+M34*1.066</f>
        <v>3557473799.4240899</v>
      </c>
      <c r="P34" s="584">
        <v>0</v>
      </c>
      <c r="Q34" s="584">
        <f>+O34*1.04</f>
        <v>3699772751.4010534</v>
      </c>
      <c r="R34" s="584">
        <v>0</v>
      </c>
      <c r="S34" s="582">
        <f t="shared" si="2"/>
        <v>13642151165.690144</v>
      </c>
      <c r="T34" s="347" t="s">
        <v>1261</v>
      </c>
      <c r="U34" s="779">
        <f>+S34</f>
        <v>13642151165.690144</v>
      </c>
      <c r="V34" s="779">
        <v>0</v>
      </c>
      <c r="W34" s="779">
        <v>0</v>
      </c>
      <c r="X34" s="576" t="s">
        <v>1265</v>
      </c>
    </row>
    <row r="35" spans="2:24" ht="51" customHeight="1">
      <c r="B35" s="954" t="s">
        <v>754</v>
      </c>
      <c r="C35" s="563" t="s">
        <v>1151</v>
      </c>
      <c r="D35" s="954" t="s">
        <v>575</v>
      </c>
      <c r="E35" s="886" t="s">
        <v>608</v>
      </c>
      <c r="F35" s="888" t="s">
        <v>1304</v>
      </c>
      <c r="G35" s="718">
        <v>1</v>
      </c>
      <c r="H35" s="409" t="s">
        <v>1000</v>
      </c>
      <c r="I35" s="515" t="s">
        <v>1503</v>
      </c>
      <c r="J35" s="514">
        <v>1</v>
      </c>
      <c r="K35" s="583">
        <f>190321692+72066769</f>
        <v>262388461</v>
      </c>
      <c r="L35" s="583">
        <v>0</v>
      </c>
      <c r="M35" s="583">
        <f>+K35*1.095</f>
        <v>287315364.79500002</v>
      </c>
      <c r="N35" s="583">
        <v>0</v>
      </c>
      <c r="O35" s="583">
        <f>+M35*1.066</f>
        <v>306278178.87147003</v>
      </c>
      <c r="P35" s="583">
        <v>0</v>
      </c>
      <c r="Q35" s="583">
        <f>+O35*1.04</f>
        <v>318529306.02632886</v>
      </c>
      <c r="R35" s="583">
        <v>0</v>
      </c>
      <c r="S35" s="581">
        <f t="shared" si="2"/>
        <v>1174511310.6927989</v>
      </c>
      <c r="T35" s="409" t="s">
        <v>1188</v>
      </c>
      <c r="U35" s="580">
        <f>+S35</f>
        <v>1174511310.6927989</v>
      </c>
      <c r="V35" s="580">
        <v>0</v>
      </c>
      <c r="W35" s="580">
        <v>0</v>
      </c>
      <c r="X35" s="576" t="s">
        <v>1265</v>
      </c>
    </row>
    <row r="36" spans="2:24" ht="51">
      <c r="B36" s="955"/>
      <c r="C36" s="563" t="s">
        <v>1151</v>
      </c>
      <c r="D36" s="955"/>
      <c r="E36" s="904"/>
      <c r="F36" s="908"/>
      <c r="G36" s="718">
        <v>2</v>
      </c>
      <c r="H36" s="409" t="s">
        <v>1001</v>
      </c>
      <c r="I36" s="409" t="s">
        <v>1069</v>
      </c>
      <c r="J36" s="495">
        <v>1</v>
      </c>
      <c r="K36" s="583">
        <f>190321692+72066769</f>
        <v>262388461</v>
      </c>
      <c r="L36" s="583">
        <v>0</v>
      </c>
      <c r="M36" s="583">
        <f>+K36*1.095</f>
        <v>287315364.79500002</v>
      </c>
      <c r="N36" s="583">
        <v>0</v>
      </c>
      <c r="O36" s="583">
        <f>+M36*1.066</f>
        <v>306278178.87147003</v>
      </c>
      <c r="P36" s="583">
        <v>0</v>
      </c>
      <c r="Q36" s="583">
        <f>+O36*1.04</f>
        <v>318529306.02632886</v>
      </c>
      <c r="R36" s="583">
        <v>0</v>
      </c>
      <c r="S36" s="581">
        <f t="shared" si="2"/>
        <v>1174511310.6927989</v>
      </c>
      <c r="T36" s="409" t="s">
        <v>1188</v>
      </c>
      <c r="U36" s="580">
        <f>+S36</f>
        <v>1174511310.6927989</v>
      </c>
      <c r="V36" s="580">
        <v>0</v>
      </c>
      <c r="W36" s="580">
        <v>0</v>
      </c>
      <c r="X36" s="576" t="s">
        <v>1284</v>
      </c>
    </row>
    <row r="37" spans="2:24" ht="102">
      <c r="B37" s="956"/>
      <c r="C37" s="563" t="s">
        <v>1151</v>
      </c>
      <c r="D37" s="956"/>
      <c r="E37" s="887"/>
      <c r="F37" s="889"/>
      <c r="G37" s="750">
        <v>3</v>
      </c>
      <c r="H37" s="519" t="s">
        <v>1002</v>
      </c>
      <c r="I37" s="573" t="s">
        <v>1068</v>
      </c>
      <c r="J37" s="520">
        <v>1</v>
      </c>
      <c r="K37" s="583">
        <v>0</v>
      </c>
      <c r="L37" s="583">
        <v>0</v>
      </c>
      <c r="M37" s="583">
        <v>0</v>
      </c>
      <c r="N37" s="583">
        <v>0</v>
      </c>
      <c r="O37" s="583">
        <v>0</v>
      </c>
      <c r="P37" s="583">
        <v>79800000</v>
      </c>
      <c r="Q37" s="583">
        <v>0</v>
      </c>
      <c r="R37" s="583">
        <v>0</v>
      </c>
      <c r="S37" s="581">
        <f t="shared" si="2"/>
        <v>79800000</v>
      </c>
      <c r="T37" s="409" t="s">
        <v>1329</v>
      </c>
      <c r="U37" s="580">
        <v>0</v>
      </c>
      <c r="V37" s="580">
        <f>+S37</f>
        <v>79800000</v>
      </c>
      <c r="W37" s="580">
        <v>0</v>
      </c>
      <c r="X37" s="576" t="s">
        <v>1265</v>
      </c>
    </row>
    <row r="38" spans="2:24" ht="51" customHeight="1">
      <c r="B38" s="957" t="s">
        <v>754</v>
      </c>
      <c r="C38" s="569" t="s">
        <v>1148</v>
      </c>
      <c r="D38" s="957" t="s">
        <v>575</v>
      </c>
      <c r="E38" s="957" t="s">
        <v>610</v>
      </c>
      <c r="F38" s="967" t="s">
        <v>884</v>
      </c>
      <c r="G38" s="434">
        <v>1</v>
      </c>
      <c r="H38" s="347" t="s">
        <v>1035</v>
      </c>
      <c r="I38" s="347" t="s">
        <v>1376</v>
      </c>
      <c r="J38" s="408">
        <v>1</v>
      </c>
      <c r="K38" s="584">
        <f>1220989779+158573161+134431153</f>
        <v>1513994093</v>
      </c>
      <c r="L38" s="584">
        <v>0</v>
      </c>
      <c r="M38" s="584">
        <f>1220989779+(158573161*2)*1.095</f>
        <v>1568265001.5899999</v>
      </c>
      <c r="N38" s="584">
        <v>0</v>
      </c>
      <c r="O38" s="584">
        <v>0</v>
      </c>
      <c r="P38" s="584">
        <v>0</v>
      </c>
      <c r="Q38" s="584">
        <v>0</v>
      </c>
      <c r="R38" s="584">
        <v>0</v>
      </c>
      <c r="S38" s="582">
        <f t="shared" si="2"/>
        <v>3082259094.5900002</v>
      </c>
      <c r="T38" s="432" t="s">
        <v>1262</v>
      </c>
      <c r="U38" s="779">
        <f>+S38</f>
        <v>3082259094.5900002</v>
      </c>
      <c r="V38" s="779">
        <v>0</v>
      </c>
      <c r="W38" s="779">
        <v>0</v>
      </c>
      <c r="X38" s="576" t="s">
        <v>1265</v>
      </c>
    </row>
    <row r="39" spans="2:24" ht="38.25">
      <c r="B39" s="959"/>
      <c r="C39" s="570"/>
      <c r="D39" s="959"/>
      <c r="E39" s="959"/>
      <c r="F39" s="968"/>
      <c r="G39" s="434">
        <v>2</v>
      </c>
      <c r="H39" s="347" t="s">
        <v>1036</v>
      </c>
      <c r="I39" s="347" t="s">
        <v>1306</v>
      </c>
      <c r="J39" s="408">
        <v>0.5</v>
      </c>
      <c r="K39" s="584">
        <v>0</v>
      </c>
      <c r="L39" s="584">
        <v>0</v>
      </c>
      <c r="M39" s="584">
        <f>1220989779+(158573161*2)*1.095</f>
        <v>1568265001.5899999</v>
      </c>
      <c r="N39" s="584">
        <v>0</v>
      </c>
      <c r="O39" s="584">
        <f>+M39*1.066</f>
        <v>1671770491.6949401</v>
      </c>
      <c r="P39" s="584">
        <v>0</v>
      </c>
      <c r="Q39" s="584">
        <f>+O39*1.04</f>
        <v>1738641311.3627377</v>
      </c>
      <c r="R39" s="584">
        <v>0</v>
      </c>
      <c r="S39" s="582">
        <f t="shared" si="2"/>
        <v>4978676804.6476774</v>
      </c>
      <c r="T39" s="421" t="s">
        <v>1196</v>
      </c>
      <c r="U39" s="779">
        <f>+S39</f>
        <v>4978676804.6476774</v>
      </c>
      <c r="V39" s="779">
        <v>0</v>
      </c>
      <c r="W39" s="779">
        <v>0</v>
      </c>
      <c r="X39" s="576" t="s">
        <v>1281</v>
      </c>
    </row>
    <row r="40" spans="2:24" ht="114.75" customHeight="1">
      <c r="B40" s="954" t="s">
        <v>1129</v>
      </c>
      <c r="C40" s="575" t="s">
        <v>873</v>
      </c>
      <c r="D40" s="954" t="s">
        <v>252</v>
      </c>
      <c r="E40" s="886" t="s">
        <v>611</v>
      </c>
      <c r="F40" s="888" t="s">
        <v>1060</v>
      </c>
      <c r="G40" s="718">
        <v>1</v>
      </c>
      <c r="H40" s="409" t="s">
        <v>1018</v>
      </c>
      <c r="I40" s="409" t="s">
        <v>1307</v>
      </c>
      <c r="J40" s="495">
        <v>1</v>
      </c>
      <c r="K40" s="583">
        <f t="shared" ref="K40:K43" si="4">400778000+189911725</f>
        <v>590689725</v>
      </c>
      <c r="L40" s="583">
        <v>3323050000</v>
      </c>
      <c r="M40" s="583">
        <f t="shared" ref="M40:M43" si="5">(400778000+189911725*1.095)</f>
        <v>608731338.875</v>
      </c>
      <c r="N40" s="583">
        <v>2618000000</v>
      </c>
      <c r="O40" s="583">
        <f t="shared" ref="O40:O43" si="6">(400778000+189911725*1.095*1.066)</f>
        <v>622456259.24075007</v>
      </c>
      <c r="P40" s="583">
        <v>4546000000</v>
      </c>
      <c r="Q40" s="583">
        <f t="shared" ref="Q40:Q43" si="7">(400778000+189911725*1.095*1.066*1.04)</f>
        <v>631323389.61038005</v>
      </c>
      <c r="R40" s="583">
        <v>0</v>
      </c>
      <c r="S40" s="581">
        <f t="shared" si="2"/>
        <v>12940250712.72613</v>
      </c>
      <c r="T40" s="409" t="s">
        <v>1330</v>
      </c>
      <c r="U40" s="580">
        <f>+S40</f>
        <v>12940250712.72613</v>
      </c>
      <c r="V40" s="580">
        <v>0</v>
      </c>
      <c r="W40" s="580">
        <v>0</v>
      </c>
      <c r="X40" s="576" t="s">
        <v>1280</v>
      </c>
    </row>
    <row r="41" spans="2:24" ht="114.75">
      <c r="B41" s="955"/>
      <c r="C41" s="575" t="s">
        <v>873</v>
      </c>
      <c r="D41" s="955"/>
      <c r="E41" s="904"/>
      <c r="F41" s="908"/>
      <c r="G41" s="718">
        <v>2</v>
      </c>
      <c r="H41" s="409" t="s">
        <v>1061</v>
      </c>
      <c r="I41" s="409" t="s">
        <v>832</v>
      </c>
      <c r="J41" s="495">
        <v>1</v>
      </c>
      <c r="K41" s="583">
        <f t="shared" si="4"/>
        <v>590689725</v>
      </c>
      <c r="L41" s="583">
        <v>3323050000</v>
      </c>
      <c r="M41" s="583">
        <f t="shared" si="5"/>
        <v>608731338.875</v>
      </c>
      <c r="N41" s="583">
        <v>2618000000</v>
      </c>
      <c r="O41" s="583">
        <f t="shared" si="6"/>
        <v>622456259.24075007</v>
      </c>
      <c r="P41" s="583">
        <v>4546000000</v>
      </c>
      <c r="Q41" s="583">
        <f t="shared" si="7"/>
        <v>631323389.61038005</v>
      </c>
      <c r="R41" s="583">
        <v>0</v>
      </c>
      <c r="S41" s="581">
        <f t="shared" si="2"/>
        <v>12940250712.72613</v>
      </c>
      <c r="T41" s="409" t="s">
        <v>1330</v>
      </c>
      <c r="U41" s="580">
        <f t="shared" ref="U41:U42" si="8">+S41</f>
        <v>12940250712.72613</v>
      </c>
      <c r="V41" s="580">
        <v>0</v>
      </c>
      <c r="W41" s="580">
        <v>0</v>
      </c>
      <c r="X41" s="576" t="s">
        <v>1280</v>
      </c>
    </row>
    <row r="42" spans="2:24" ht="114.75">
      <c r="B42" s="956"/>
      <c r="C42" s="575" t="s">
        <v>874</v>
      </c>
      <c r="D42" s="956"/>
      <c r="E42" s="887"/>
      <c r="F42" s="889"/>
      <c r="G42" s="718">
        <v>3</v>
      </c>
      <c r="H42" s="782" t="s">
        <v>1354</v>
      </c>
      <c r="I42" s="783" t="s">
        <v>1355</v>
      </c>
      <c r="J42" s="784">
        <v>3</v>
      </c>
      <c r="K42" s="583">
        <f t="shared" si="4"/>
        <v>590689725</v>
      </c>
      <c r="L42" s="583">
        <v>3323050000</v>
      </c>
      <c r="M42" s="583">
        <f t="shared" si="5"/>
        <v>608731338.875</v>
      </c>
      <c r="N42" s="583">
        <v>2618000000</v>
      </c>
      <c r="O42" s="583">
        <f t="shared" si="6"/>
        <v>622456259.24075007</v>
      </c>
      <c r="P42" s="583">
        <v>4546000000</v>
      </c>
      <c r="Q42" s="583">
        <f t="shared" si="7"/>
        <v>631323389.61038005</v>
      </c>
      <c r="R42" s="583">
        <v>0</v>
      </c>
      <c r="S42" s="581">
        <f t="shared" si="2"/>
        <v>12940250712.72613</v>
      </c>
      <c r="T42" s="409" t="s">
        <v>1330</v>
      </c>
      <c r="U42" s="580">
        <f t="shared" si="8"/>
        <v>12940250712.72613</v>
      </c>
      <c r="V42" s="580">
        <v>0</v>
      </c>
      <c r="W42" s="580">
        <v>0</v>
      </c>
      <c r="X42" s="576" t="s">
        <v>1280</v>
      </c>
    </row>
    <row r="43" spans="2:24" ht="114.75">
      <c r="B43" s="562" t="s">
        <v>768</v>
      </c>
      <c r="C43" s="415" t="s">
        <v>875</v>
      </c>
      <c r="D43" s="562" t="s">
        <v>252</v>
      </c>
      <c r="E43" s="751" t="s">
        <v>612</v>
      </c>
      <c r="F43" s="772" t="s">
        <v>567</v>
      </c>
      <c r="G43" s="773">
        <v>1</v>
      </c>
      <c r="H43" s="753" t="s">
        <v>568</v>
      </c>
      <c r="I43" s="414" t="s">
        <v>767</v>
      </c>
      <c r="J43" s="413">
        <v>1</v>
      </c>
      <c r="K43" s="584">
        <f t="shared" si="4"/>
        <v>590689725</v>
      </c>
      <c r="L43" s="584">
        <v>3323050000</v>
      </c>
      <c r="M43" s="584">
        <f t="shared" si="5"/>
        <v>608731338.875</v>
      </c>
      <c r="N43" s="584">
        <v>2618000000</v>
      </c>
      <c r="O43" s="584">
        <f t="shared" si="6"/>
        <v>622456259.24075007</v>
      </c>
      <c r="P43" s="584">
        <v>4546000000</v>
      </c>
      <c r="Q43" s="584">
        <f t="shared" si="7"/>
        <v>631323389.61038005</v>
      </c>
      <c r="R43" s="584">
        <v>0</v>
      </c>
      <c r="S43" s="582">
        <f t="shared" si="2"/>
        <v>12940250712.72613</v>
      </c>
      <c r="T43" s="347" t="s">
        <v>1330</v>
      </c>
      <c r="U43" s="779">
        <f t="shared" ref="U43:U51" si="9">+S43</f>
        <v>12940250712.72613</v>
      </c>
      <c r="V43" s="779">
        <v>0</v>
      </c>
      <c r="W43" s="779"/>
      <c r="X43" s="576" t="s">
        <v>1280</v>
      </c>
    </row>
    <row r="44" spans="2:24" ht="127.5" customHeight="1">
      <c r="B44" s="954" t="s">
        <v>1133</v>
      </c>
      <c r="C44" s="563" t="s">
        <v>1139</v>
      </c>
      <c r="D44" s="954" t="s">
        <v>252</v>
      </c>
      <c r="E44" s="886" t="s">
        <v>613</v>
      </c>
      <c r="F44" s="888" t="s">
        <v>1062</v>
      </c>
      <c r="G44" s="914">
        <v>1</v>
      </c>
      <c r="H44" s="917" t="s">
        <v>771</v>
      </c>
      <c r="I44" s="525" t="s">
        <v>1308</v>
      </c>
      <c r="J44" s="505">
        <v>1</v>
      </c>
      <c r="K44" s="583">
        <f>1319139643+1797011675+474530000+(((147839978.88*2)+177057358.08)*1+7.26%)</f>
        <v>4063418633.9126</v>
      </c>
      <c r="L44" s="583">
        <v>3323050000</v>
      </c>
      <c r="M44" s="583">
        <f t="shared" ref="M44:M49" si="10">+K44*1.095</f>
        <v>4449443404.1342974</v>
      </c>
      <c r="N44" s="583">
        <v>2618000000</v>
      </c>
      <c r="O44" s="583">
        <f t="shared" ref="O44:O49" si="11">+M44*1.066</f>
        <v>4743106668.8071613</v>
      </c>
      <c r="P44" s="583">
        <v>4546000000</v>
      </c>
      <c r="Q44" s="583">
        <f t="shared" ref="Q44:Q49" si="12">+O44*1.04</f>
        <v>4932830935.5594482</v>
      </c>
      <c r="R44" s="583">
        <v>0</v>
      </c>
      <c r="S44" s="581">
        <f t="shared" si="2"/>
        <v>28675849642.413506</v>
      </c>
      <c r="T44" s="409" t="s">
        <v>1331</v>
      </c>
      <c r="U44" s="580">
        <f t="shared" si="9"/>
        <v>28675849642.413506</v>
      </c>
      <c r="V44" s="580">
        <v>0</v>
      </c>
      <c r="W44" s="580">
        <f t="shared" ref="W44:W51" si="13">+S44-U44</f>
        <v>0</v>
      </c>
      <c r="X44" s="576" t="s">
        <v>1286</v>
      </c>
    </row>
    <row r="45" spans="2:24" ht="114.75">
      <c r="B45" s="955"/>
      <c r="C45" s="563" t="s">
        <v>1139</v>
      </c>
      <c r="D45" s="955"/>
      <c r="E45" s="904"/>
      <c r="F45" s="908"/>
      <c r="G45" s="915"/>
      <c r="H45" s="918"/>
      <c r="I45" s="525" t="s">
        <v>1504</v>
      </c>
      <c r="J45" s="505">
        <v>0.95</v>
      </c>
      <c r="K45" s="583">
        <f>474530000+((177057358.08)*1+7.26%)</f>
        <v>651587358.15260005</v>
      </c>
      <c r="L45" s="583">
        <v>3323050000</v>
      </c>
      <c r="M45" s="583">
        <f t="shared" si="10"/>
        <v>713488157.17709708</v>
      </c>
      <c r="N45" s="583">
        <v>2618000000</v>
      </c>
      <c r="O45" s="583">
        <f t="shared" si="11"/>
        <v>760578375.55078554</v>
      </c>
      <c r="P45" s="583">
        <v>4546000000</v>
      </c>
      <c r="Q45" s="583">
        <f t="shared" si="12"/>
        <v>791001510.57281697</v>
      </c>
      <c r="R45" s="583">
        <v>0</v>
      </c>
      <c r="S45" s="581">
        <f t="shared" si="2"/>
        <v>13403705401.4533</v>
      </c>
      <c r="T45" s="409" t="s">
        <v>1332</v>
      </c>
      <c r="U45" s="580">
        <f t="shared" si="9"/>
        <v>13403705401.4533</v>
      </c>
      <c r="V45" s="580">
        <v>0</v>
      </c>
      <c r="W45" s="580">
        <f t="shared" si="13"/>
        <v>0</v>
      </c>
      <c r="X45" s="576" t="s">
        <v>1271</v>
      </c>
    </row>
    <row r="46" spans="2:24" ht="216.75">
      <c r="B46" s="955"/>
      <c r="C46" s="563" t="s">
        <v>1139</v>
      </c>
      <c r="D46" s="955"/>
      <c r="E46" s="904"/>
      <c r="F46" s="908"/>
      <c r="G46" s="915"/>
      <c r="H46" s="918"/>
      <c r="I46" s="523" t="s">
        <v>1310</v>
      </c>
      <c r="J46" s="531" t="s">
        <v>1020</v>
      </c>
      <c r="K46" s="583">
        <f>474530000+((177057358.08)*1+7.26%)</f>
        <v>651587358.15260005</v>
      </c>
      <c r="L46" s="583">
        <v>3323050000</v>
      </c>
      <c r="M46" s="583">
        <f t="shared" si="10"/>
        <v>713488157.17709708</v>
      </c>
      <c r="N46" s="583">
        <v>2618000000</v>
      </c>
      <c r="O46" s="583">
        <f t="shared" si="11"/>
        <v>760578375.55078554</v>
      </c>
      <c r="P46" s="583">
        <v>4546000000</v>
      </c>
      <c r="Q46" s="583">
        <f t="shared" si="12"/>
        <v>791001510.57281697</v>
      </c>
      <c r="R46" s="583">
        <v>0</v>
      </c>
      <c r="S46" s="581">
        <f t="shared" si="2"/>
        <v>13403705401.4533</v>
      </c>
      <c r="T46" s="409" t="s">
        <v>1332</v>
      </c>
      <c r="U46" s="580">
        <f t="shared" si="9"/>
        <v>13403705401.4533</v>
      </c>
      <c r="V46" s="580">
        <v>0</v>
      </c>
      <c r="W46" s="580">
        <f t="shared" si="13"/>
        <v>0</v>
      </c>
      <c r="X46" s="576" t="s">
        <v>1280</v>
      </c>
    </row>
    <row r="47" spans="2:24" ht="114.75">
      <c r="B47" s="955"/>
      <c r="C47" s="563" t="s">
        <v>1139</v>
      </c>
      <c r="D47" s="955"/>
      <c r="E47" s="904"/>
      <c r="F47" s="908"/>
      <c r="G47" s="915"/>
      <c r="H47" s="918"/>
      <c r="I47" s="523" t="s">
        <v>1505</v>
      </c>
      <c r="J47" s="521">
        <v>1</v>
      </c>
      <c r="K47" s="583">
        <f>474530000+((177057358.08)*1+7.26%)</f>
        <v>651587358.15260005</v>
      </c>
      <c r="L47" s="583">
        <v>3323050000</v>
      </c>
      <c r="M47" s="583">
        <f t="shared" si="10"/>
        <v>713488157.17709708</v>
      </c>
      <c r="N47" s="583">
        <v>2618000000</v>
      </c>
      <c r="O47" s="583">
        <f t="shared" si="11"/>
        <v>760578375.55078554</v>
      </c>
      <c r="P47" s="583">
        <v>4546000000</v>
      </c>
      <c r="Q47" s="583">
        <f t="shared" si="12"/>
        <v>791001510.57281697</v>
      </c>
      <c r="R47" s="583">
        <v>0</v>
      </c>
      <c r="S47" s="581">
        <f t="shared" si="2"/>
        <v>13403705401.4533</v>
      </c>
      <c r="T47" s="409" t="s">
        <v>1332</v>
      </c>
      <c r="U47" s="580">
        <f t="shared" si="9"/>
        <v>13403705401.4533</v>
      </c>
      <c r="V47" s="580">
        <v>0</v>
      </c>
      <c r="W47" s="580">
        <f t="shared" si="13"/>
        <v>0</v>
      </c>
      <c r="X47" s="576" t="s">
        <v>1280</v>
      </c>
    </row>
    <row r="48" spans="2:24" ht="127.5">
      <c r="B48" s="955"/>
      <c r="C48" s="563" t="s">
        <v>1139</v>
      </c>
      <c r="D48" s="955"/>
      <c r="E48" s="904"/>
      <c r="F48" s="908"/>
      <c r="G48" s="915"/>
      <c r="H48" s="918"/>
      <c r="I48" s="523" t="s">
        <v>1066</v>
      </c>
      <c r="J48" s="521">
        <v>0.15</v>
      </c>
      <c r="K48" s="583">
        <f>1319139643+1797011675+474530000+(((147839978.88*2)+177057358.08)*1+7.26%)</f>
        <v>4063418633.9126</v>
      </c>
      <c r="L48" s="583">
        <v>3323050000</v>
      </c>
      <c r="M48" s="583">
        <f t="shared" si="10"/>
        <v>4449443404.1342974</v>
      </c>
      <c r="N48" s="583">
        <v>2618000000</v>
      </c>
      <c r="O48" s="583">
        <f t="shared" si="11"/>
        <v>4743106668.8071613</v>
      </c>
      <c r="P48" s="583">
        <v>4546000000</v>
      </c>
      <c r="Q48" s="583">
        <f t="shared" si="12"/>
        <v>4932830935.5594482</v>
      </c>
      <c r="R48" s="583">
        <v>0</v>
      </c>
      <c r="S48" s="581">
        <f t="shared" si="2"/>
        <v>28675849642.413506</v>
      </c>
      <c r="T48" s="409" t="s">
        <v>1331</v>
      </c>
      <c r="U48" s="580">
        <f t="shared" si="9"/>
        <v>28675849642.413506</v>
      </c>
      <c r="V48" s="580">
        <v>0</v>
      </c>
      <c r="W48" s="580">
        <f t="shared" si="13"/>
        <v>0</v>
      </c>
      <c r="X48" s="576" t="s">
        <v>1280</v>
      </c>
    </row>
    <row r="49" spans="2:24" ht="127.5">
      <c r="B49" s="956"/>
      <c r="C49" s="563" t="s">
        <v>1139</v>
      </c>
      <c r="D49" s="956"/>
      <c r="E49" s="887"/>
      <c r="F49" s="889"/>
      <c r="G49" s="916"/>
      <c r="H49" s="919"/>
      <c r="I49" s="523" t="s">
        <v>1313</v>
      </c>
      <c r="J49" s="533">
        <v>12</v>
      </c>
      <c r="K49" s="583">
        <f>474530000+((177057358.08)*1+7.26%)</f>
        <v>651587358.15260005</v>
      </c>
      <c r="L49" s="583">
        <v>3323050000</v>
      </c>
      <c r="M49" s="583">
        <f t="shared" si="10"/>
        <v>713488157.17709708</v>
      </c>
      <c r="N49" s="583">
        <v>2618000000</v>
      </c>
      <c r="O49" s="583">
        <f t="shared" si="11"/>
        <v>760578375.55078554</v>
      </c>
      <c r="P49" s="583">
        <v>4546000000</v>
      </c>
      <c r="Q49" s="583">
        <f t="shared" si="12"/>
        <v>791001510.57281697</v>
      </c>
      <c r="R49" s="583">
        <v>0</v>
      </c>
      <c r="S49" s="581">
        <f t="shared" si="2"/>
        <v>13403705401.4533</v>
      </c>
      <c r="T49" s="409" t="s">
        <v>1333</v>
      </c>
      <c r="U49" s="580">
        <f t="shared" si="9"/>
        <v>13403705401.4533</v>
      </c>
      <c r="V49" s="580">
        <v>0</v>
      </c>
      <c r="W49" s="580">
        <f t="shared" si="13"/>
        <v>0</v>
      </c>
      <c r="X49" s="576" t="s">
        <v>1280</v>
      </c>
    </row>
    <row r="50" spans="2:24" ht="133.5" customHeight="1">
      <c r="B50" s="957" t="s">
        <v>768</v>
      </c>
      <c r="C50" s="569" t="s">
        <v>1140</v>
      </c>
      <c r="D50" s="957" t="s">
        <v>252</v>
      </c>
      <c r="E50" s="877" t="s">
        <v>614</v>
      </c>
      <c r="F50" s="909" t="s">
        <v>617</v>
      </c>
      <c r="G50" s="911">
        <v>1</v>
      </c>
      <c r="H50" s="913" t="s">
        <v>529</v>
      </c>
      <c r="I50" s="345" t="s">
        <v>1071</v>
      </c>
      <c r="J50" s="344">
        <v>35</v>
      </c>
      <c r="K50" s="585">
        <f>723799877+474530000+((2*177057358.08)*1+7.26%)</f>
        <v>1552444593.2326</v>
      </c>
      <c r="L50" s="585">
        <v>3323050000</v>
      </c>
      <c r="M50" s="584">
        <f>(400778000+189911725*1.095)</f>
        <v>608731338.875</v>
      </c>
      <c r="N50" s="585">
        <v>2618000000</v>
      </c>
      <c r="O50" s="585">
        <f>(400778000+189911725*1.095*1.066)</f>
        <v>622456259.24075007</v>
      </c>
      <c r="P50" s="585">
        <v>4546000000</v>
      </c>
      <c r="Q50" s="584">
        <f>(400778000+189911725*1.095*1.066*1.04)</f>
        <v>631323389.61038005</v>
      </c>
      <c r="R50" s="584">
        <v>0</v>
      </c>
      <c r="S50" s="582">
        <f t="shared" si="2"/>
        <v>13902005580.958731</v>
      </c>
      <c r="T50" s="347" t="s">
        <v>1334</v>
      </c>
      <c r="U50" s="779">
        <f t="shared" si="9"/>
        <v>13902005580.958731</v>
      </c>
      <c r="V50" s="779">
        <v>0</v>
      </c>
      <c r="W50" s="779">
        <f t="shared" si="13"/>
        <v>0</v>
      </c>
      <c r="X50" s="576" t="s">
        <v>1277</v>
      </c>
    </row>
    <row r="51" spans="2:24" ht="114.75">
      <c r="B51" s="958"/>
      <c r="C51" s="569" t="s">
        <v>1140</v>
      </c>
      <c r="D51" s="958"/>
      <c r="E51" s="878"/>
      <c r="F51" s="910"/>
      <c r="G51" s="912"/>
      <c r="H51" s="913"/>
      <c r="I51" s="345" t="s">
        <v>1314</v>
      </c>
      <c r="J51" s="786">
        <v>11</v>
      </c>
      <c r="K51" s="584">
        <f>400778000+189911725</f>
        <v>590689725</v>
      </c>
      <c r="L51" s="585">
        <v>3323050000</v>
      </c>
      <c r="M51" s="584">
        <f>(400778000+189911725*1.095)</f>
        <v>608731338.875</v>
      </c>
      <c r="N51" s="585">
        <v>2618000000</v>
      </c>
      <c r="O51" s="584">
        <f>(400778000+189911725*1.095*1.066)</f>
        <v>622456259.24075007</v>
      </c>
      <c r="P51" s="585">
        <v>4546000000</v>
      </c>
      <c r="Q51" s="584">
        <f>(400778000+189911725*1.095*1.066*1.04)</f>
        <v>631323389.61038005</v>
      </c>
      <c r="R51" s="584">
        <v>0</v>
      </c>
      <c r="S51" s="582">
        <f t="shared" si="2"/>
        <v>12940250712.72613</v>
      </c>
      <c r="T51" s="347" t="s">
        <v>1335</v>
      </c>
      <c r="U51" s="779">
        <f t="shared" si="9"/>
        <v>12940250712.72613</v>
      </c>
      <c r="V51" s="779">
        <v>0</v>
      </c>
      <c r="W51" s="779">
        <f t="shared" si="13"/>
        <v>0</v>
      </c>
      <c r="X51" s="576" t="s">
        <v>1280</v>
      </c>
    </row>
    <row r="52" spans="2:24" ht="51">
      <c r="B52" s="958"/>
      <c r="C52" s="591"/>
      <c r="D52" s="958"/>
      <c r="E52" s="878"/>
      <c r="F52" s="910"/>
      <c r="G52" s="912"/>
      <c r="H52" s="913"/>
      <c r="I52" s="785" t="s">
        <v>1356</v>
      </c>
      <c r="J52" s="788">
        <v>35</v>
      </c>
      <c r="K52" s="584"/>
      <c r="L52" s="585"/>
      <c r="M52" s="584"/>
      <c r="N52" s="585"/>
      <c r="O52" s="584"/>
      <c r="P52" s="585"/>
      <c r="Q52" s="584"/>
      <c r="R52" s="584"/>
      <c r="S52" s="582"/>
      <c r="T52" s="347"/>
      <c r="U52" s="779"/>
      <c r="V52" s="779"/>
      <c r="W52" s="779"/>
      <c r="X52" s="576"/>
    </row>
    <row r="53" spans="2:24" ht="51">
      <c r="B53" s="959"/>
      <c r="C53" s="569" t="s">
        <v>1140</v>
      </c>
      <c r="D53" s="959"/>
      <c r="E53" s="879"/>
      <c r="F53" s="965"/>
      <c r="G53" s="966"/>
      <c r="H53" s="913"/>
      <c r="I53" s="615" t="s">
        <v>1506</v>
      </c>
      <c r="J53" s="616">
        <v>808</v>
      </c>
      <c r="K53" s="585"/>
      <c r="L53" s="585"/>
      <c r="M53" s="585"/>
      <c r="N53" s="585"/>
      <c r="O53" s="585"/>
      <c r="P53" s="585"/>
      <c r="Q53" s="585"/>
      <c r="R53" s="585"/>
      <c r="S53" s="588"/>
      <c r="T53" s="425"/>
      <c r="U53" s="780"/>
      <c r="V53" s="780"/>
      <c r="W53" s="780"/>
      <c r="X53" s="576" t="s">
        <v>1265</v>
      </c>
    </row>
    <row r="54" spans="2:24" ht="63.75">
      <c r="B54" s="568" t="s">
        <v>754</v>
      </c>
      <c r="C54" s="568" t="s">
        <v>865</v>
      </c>
      <c r="D54" s="568" t="s">
        <v>573</v>
      </c>
      <c r="E54" s="756" t="s">
        <v>620</v>
      </c>
      <c r="F54" s="436" t="s">
        <v>765</v>
      </c>
      <c r="G54" s="678">
        <v>1</v>
      </c>
      <c r="H54" s="679" t="s">
        <v>784</v>
      </c>
      <c r="I54" s="449" t="s">
        <v>753</v>
      </c>
      <c r="J54" s="448">
        <v>1</v>
      </c>
      <c r="K54" s="584">
        <f>210544831+189911725+131804338+5179978960</f>
        <v>5712239854</v>
      </c>
      <c r="L54" s="584">
        <v>0</v>
      </c>
      <c r="M54" s="584">
        <f>+K54*1.095</f>
        <v>6254902640.1300001</v>
      </c>
      <c r="N54" s="584">
        <v>0</v>
      </c>
      <c r="O54" s="584">
        <f>+M54*1.066</f>
        <v>6667726214.3785801</v>
      </c>
      <c r="P54" s="584">
        <v>0</v>
      </c>
      <c r="Q54" s="584">
        <f t="shared" ref="Q54:Q59" si="14">+O54*1.04</f>
        <v>6934435262.9537239</v>
      </c>
      <c r="R54" s="584">
        <v>0</v>
      </c>
      <c r="S54" s="582">
        <f t="shared" ref="S54:S85" si="15">SUM(K54:R54)</f>
        <v>25569303971.462307</v>
      </c>
      <c r="T54" s="347" t="s">
        <v>1336</v>
      </c>
      <c r="U54" s="779">
        <f t="shared" ref="U54:U60" si="16">+S54</f>
        <v>25569303971.462307</v>
      </c>
      <c r="V54" s="779">
        <v>0</v>
      </c>
      <c r="W54" s="779">
        <v>0</v>
      </c>
      <c r="X54" s="576" t="s">
        <v>1265</v>
      </c>
    </row>
    <row r="55" spans="2:24" ht="178.5">
      <c r="B55" s="563" t="s">
        <v>776</v>
      </c>
      <c r="C55" s="563" t="s">
        <v>879</v>
      </c>
      <c r="D55" s="564" t="s">
        <v>573</v>
      </c>
      <c r="E55" s="686" t="s">
        <v>625</v>
      </c>
      <c r="F55" s="687" t="s">
        <v>775</v>
      </c>
      <c r="G55" s="688">
        <v>1</v>
      </c>
      <c r="H55" s="689" t="s">
        <v>1072</v>
      </c>
      <c r="I55" s="409" t="s">
        <v>1507</v>
      </c>
      <c r="J55" s="495">
        <v>1</v>
      </c>
      <c r="K55" s="583">
        <f>339013018+209124281+201541786+210544831+209124281+492353840</f>
        <v>1661702037</v>
      </c>
      <c r="L55" s="583">
        <v>0</v>
      </c>
      <c r="M55" s="583">
        <f>+(K55*1.095)+2000000000</f>
        <v>3819563730.5149999</v>
      </c>
      <c r="N55" s="583">
        <v>0</v>
      </c>
      <c r="O55" s="583">
        <f>(339013018+209124281+201541786+210544831+209124281+682665532)*1.095*1.066</f>
        <v>2161800065.4498301</v>
      </c>
      <c r="P55" s="583">
        <v>0</v>
      </c>
      <c r="Q55" s="583">
        <f t="shared" si="14"/>
        <v>2248272068.0678234</v>
      </c>
      <c r="R55" s="583">
        <v>0</v>
      </c>
      <c r="S55" s="581">
        <f t="shared" si="15"/>
        <v>9891337901.0326538</v>
      </c>
      <c r="T55" s="409" t="s">
        <v>1489</v>
      </c>
      <c r="U55" s="580">
        <f t="shared" si="16"/>
        <v>9891337901.0326538</v>
      </c>
      <c r="V55" s="580">
        <v>0</v>
      </c>
      <c r="W55" s="580">
        <v>0</v>
      </c>
      <c r="X55" s="576" t="s">
        <v>1268</v>
      </c>
    </row>
    <row r="56" spans="2:24" ht="63.75" customHeight="1">
      <c r="B56" s="960" t="s">
        <v>1123</v>
      </c>
      <c r="C56" s="568" t="s">
        <v>871</v>
      </c>
      <c r="D56" s="960" t="s">
        <v>573</v>
      </c>
      <c r="E56" s="930" t="s">
        <v>626</v>
      </c>
      <c r="F56" s="933" t="s">
        <v>779</v>
      </c>
      <c r="G56" s="452">
        <v>1</v>
      </c>
      <c r="H56" s="453" t="s">
        <v>618</v>
      </c>
      <c r="I56" s="455" t="s">
        <v>773</v>
      </c>
      <c r="J56" s="454">
        <v>1</v>
      </c>
      <c r="K56" s="584">
        <f>3963142681+1071179501+851595123+742328000</f>
        <v>6628245305</v>
      </c>
      <c r="L56" s="584">
        <v>0</v>
      </c>
      <c r="M56" s="584">
        <f>+K56*1.095</f>
        <v>7257928608.9749994</v>
      </c>
      <c r="N56" s="584">
        <v>0</v>
      </c>
      <c r="O56" s="584">
        <f>+M56*1.066</f>
        <v>7736951897.1673498</v>
      </c>
      <c r="P56" s="584">
        <v>0</v>
      </c>
      <c r="Q56" s="584">
        <f t="shared" si="14"/>
        <v>8046429973.0540438</v>
      </c>
      <c r="R56" s="584">
        <v>0</v>
      </c>
      <c r="S56" s="582">
        <f t="shared" si="15"/>
        <v>29669555784.196392</v>
      </c>
      <c r="T56" s="347" t="s">
        <v>1189</v>
      </c>
      <c r="U56" s="779">
        <f t="shared" si="16"/>
        <v>29669555784.196392</v>
      </c>
      <c r="V56" s="779">
        <v>0</v>
      </c>
      <c r="W56" s="779">
        <v>0</v>
      </c>
      <c r="X56" s="576" t="s">
        <v>1278</v>
      </c>
    </row>
    <row r="57" spans="2:24" ht="102">
      <c r="B57" s="961"/>
      <c r="C57" s="963" t="s">
        <v>878</v>
      </c>
      <c r="D57" s="961"/>
      <c r="E57" s="931"/>
      <c r="F57" s="934"/>
      <c r="G57" s="937">
        <v>2</v>
      </c>
      <c r="H57" s="928" t="s">
        <v>785</v>
      </c>
      <c r="I57" s="462" t="s">
        <v>1508</v>
      </c>
      <c r="J57" s="461">
        <v>1</v>
      </c>
      <c r="K57" s="584">
        <f>3963142681+967280446+249555833</f>
        <v>5179978960</v>
      </c>
      <c r="L57" s="781">
        <v>0</v>
      </c>
      <c r="M57" s="584">
        <f>+K57*1.095</f>
        <v>5672076961.1999998</v>
      </c>
      <c r="N57" s="584">
        <v>0</v>
      </c>
      <c r="O57" s="584">
        <f>+M57*1.066</f>
        <v>6046434040.6392002</v>
      </c>
      <c r="P57" s="584">
        <v>0</v>
      </c>
      <c r="Q57" s="584">
        <f t="shared" si="14"/>
        <v>6288291402.2647686</v>
      </c>
      <c r="R57" s="584">
        <v>0</v>
      </c>
      <c r="S57" s="582">
        <f t="shared" si="15"/>
        <v>23186781364.10397</v>
      </c>
      <c r="T57" s="347" t="s">
        <v>1190</v>
      </c>
      <c r="U57" s="779">
        <f t="shared" si="16"/>
        <v>23186781364.10397</v>
      </c>
      <c r="V57" s="779">
        <v>0</v>
      </c>
      <c r="W57" s="779">
        <v>0</v>
      </c>
      <c r="X57" s="576" t="s">
        <v>1278</v>
      </c>
    </row>
    <row r="58" spans="2:24" ht="51">
      <c r="B58" s="962"/>
      <c r="C58" s="963"/>
      <c r="D58" s="962"/>
      <c r="E58" s="932"/>
      <c r="F58" s="935"/>
      <c r="G58" s="938"/>
      <c r="H58" s="929"/>
      <c r="I58" s="466" t="s">
        <v>1509</v>
      </c>
      <c r="J58" s="461">
        <v>1</v>
      </c>
      <c r="K58" s="584">
        <v>249555833</v>
      </c>
      <c r="L58" s="584">
        <v>0</v>
      </c>
      <c r="M58" s="584">
        <f>+K58*1.095</f>
        <v>273263637.13499999</v>
      </c>
      <c r="N58" s="584">
        <v>0</v>
      </c>
      <c r="O58" s="584">
        <f>+M58*1.066</f>
        <v>291299037.18590999</v>
      </c>
      <c r="P58" s="584">
        <v>0</v>
      </c>
      <c r="Q58" s="584">
        <f t="shared" si="14"/>
        <v>302950998.6733464</v>
      </c>
      <c r="R58" s="584">
        <v>0</v>
      </c>
      <c r="S58" s="582">
        <f t="shared" si="15"/>
        <v>1117069505.9942565</v>
      </c>
      <c r="T58" s="347" t="s">
        <v>1191</v>
      </c>
      <c r="U58" s="779">
        <f t="shared" si="16"/>
        <v>1117069505.9942565</v>
      </c>
      <c r="V58" s="779">
        <v>0</v>
      </c>
      <c r="W58" s="779">
        <v>0</v>
      </c>
      <c r="X58" s="576" t="s">
        <v>1278</v>
      </c>
    </row>
    <row r="59" spans="2:24" ht="51" customHeight="1">
      <c r="B59" s="954" t="s">
        <v>1124</v>
      </c>
      <c r="C59" s="575" t="s">
        <v>864</v>
      </c>
      <c r="D59" s="954" t="s">
        <v>573</v>
      </c>
      <c r="E59" s="886" t="s">
        <v>627</v>
      </c>
      <c r="F59" s="888" t="s">
        <v>711</v>
      </c>
      <c r="G59" s="718">
        <v>1</v>
      </c>
      <c r="H59" s="409" t="s">
        <v>622</v>
      </c>
      <c r="I59" s="537" t="s">
        <v>1510</v>
      </c>
      <c r="J59" s="535">
        <v>8</v>
      </c>
      <c r="K59" s="583">
        <v>3963142681</v>
      </c>
      <c r="L59" s="583">
        <v>0</v>
      </c>
      <c r="M59" s="583">
        <f>+K59*1.095</f>
        <v>4339641235.6949997</v>
      </c>
      <c r="N59" s="583">
        <v>0</v>
      </c>
      <c r="O59" s="583">
        <f>+M59*1.066</f>
        <v>4626057557.2508698</v>
      </c>
      <c r="P59" s="583">
        <v>0</v>
      </c>
      <c r="Q59" s="583">
        <f t="shared" si="14"/>
        <v>4811099859.540905</v>
      </c>
      <c r="R59" s="583">
        <v>0</v>
      </c>
      <c r="S59" s="581">
        <f t="shared" si="15"/>
        <v>17739941333.486774</v>
      </c>
      <c r="T59" s="409" t="s">
        <v>1192</v>
      </c>
      <c r="U59" s="580">
        <f t="shared" si="16"/>
        <v>17739941333.486774</v>
      </c>
      <c r="V59" s="580">
        <v>0</v>
      </c>
      <c r="W59" s="580">
        <v>0</v>
      </c>
      <c r="X59" s="576" t="s">
        <v>1278</v>
      </c>
    </row>
    <row r="60" spans="2:24" ht="63.75">
      <c r="B60" s="956"/>
      <c r="C60" s="575" t="s">
        <v>864</v>
      </c>
      <c r="D60" s="956"/>
      <c r="E60" s="887"/>
      <c r="F60" s="889"/>
      <c r="G60" s="718">
        <v>2</v>
      </c>
      <c r="H60" s="409" t="s">
        <v>795</v>
      </c>
      <c r="I60" s="409" t="s">
        <v>843</v>
      </c>
      <c r="J60" s="495">
        <v>1</v>
      </c>
      <c r="K60" s="583">
        <v>436498612</v>
      </c>
      <c r="L60" s="583">
        <v>0</v>
      </c>
      <c r="M60" s="583">
        <f>+K60*1.095</f>
        <v>477965980.13999999</v>
      </c>
      <c r="N60" s="583">
        <v>0</v>
      </c>
      <c r="O60" s="583">
        <f t="shared" ref="O60" si="17">+M60*1.066</f>
        <v>509511734.82924002</v>
      </c>
      <c r="P60" s="583">
        <v>0</v>
      </c>
      <c r="Q60" s="583">
        <v>0</v>
      </c>
      <c r="R60" s="583">
        <v>0</v>
      </c>
      <c r="S60" s="581">
        <f t="shared" si="15"/>
        <v>1423976326.96924</v>
      </c>
      <c r="T60" s="409" t="s">
        <v>1446</v>
      </c>
      <c r="U60" s="580">
        <f t="shared" si="16"/>
        <v>1423976326.96924</v>
      </c>
      <c r="V60" s="580">
        <v>0</v>
      </c>
      <c r="W60" s="580">
        <v>0</v>
      </c>
      <c r="X60" s="576" t="s">
        <v>1268</v>
      </c>
    </row>
    <row r="61" spans="2:24" ht="140.25">
      <c r="B61" s="568" t="s">
        <v>757</v>
      </c>
      <c r="C61" s="470" t="s">
        <v>888</v>
      </c>
      <c r="D61" s="568" t="s">
        <v>573</v>
      </c>
      <c r="E61" s="756" t="s">
        <v>628</v>
      </c>
      <c r="F61" s="436" t="s">
        <v>623</v>
      </c>
      <c r="G61" s="344">
        <v>1</v>
      </c>
      <c r="H61" s="345" t="s">
        <v>781</v>
      </c>
      <c r="I61" s="439" t="s">
        <v>1511</v>
      </c>
      <c r="J61" s="471">
        <v>1</v>
      </c>
      <c r="K61" s="584">
        <v>0</v>
      </c>
      <c r="L61" s="584">
        <v>968000000</v>
      </c>
      <c r="M61" s="584">
        <v>0</v>
      </c>
      <c r="N61" s="584">
        <v>872000000</v>
      </c>
      <c r="O61" s="584">
        <v>0</v>
      </c>
      <c r="P61" s="584">
        <v>995000000</v>
      </c>
      <c r="Q61" s="584">
        <v>0</v>
      </c>
      <c r="R61" s="584">
        <v>0</v>
      </c>
      <c r="S61" s="582">
        <f t="shared" si="15"/>
        <v>2835000000</v>
      </c>
      <c r="T61" s="80" t="s">
        <v>1324</v>
      </c>
      <c r="U61" s="779">
        <f>+S61</f>
        <v>2835000000</v>
      </c>
      <c r="V61" s="779">
        <v>0</v>
      </c>
      <c r="W61" s="779">
        <v>0</v>
      </c>
      <c r="X61" s="576" t="s">
        <v>1266</v>
      </c>
    </row>
    <row r="62" spans="2:24" ht="51" customHeight="1">
      <c r="B62" s="954" t="s">
        <v>1128</v>
      </c>
      <c r="C62" s="563" t="s">
        <v>871</v>
      </c>
      <c r="D62" s="954" t="s">
        <v>573</v>
      </c>
      <c r="E62" s="886" t="s">
        <v>629</v>
      </c>
      <c r="F62" s="888" t="s">
        <v>631</v>
      </c>
      <c r="G62" s="914">
        <v>1</v>
      </c>
      <c r="H62" s="917" t="s">
        <v>806</v>
      </c>
      <c r="I62" s="539" t="s">
        <v>782</v>
      </c>
      <c r="J62" s="522">
        <v>1</v>
      </c>
      <c r="K62" s="583">
        <v>3963142681</v>
      </c>
      <c r="L62" s="583">
        <v>0</v>
      </c>
      <c r="M62" s="583">
        <f>+K62*1.095</f>
        <v>4339641235.6949997</v>
      </c>
      <c r="N62" s="583">
        <v>0</v>
      </c>
      <c r="O62" s="583">
        <f>+M62*1.066</f>
        <v>4626057557.2508698</v>
      </c>
      <c r="P62" s="583">
        <v>0</v>
      </c>
      <c r="Q62" s="583">
        <f>+O62*1.04</f>
        <v>4811099859.540905</v>
      </c>
      <c r="R62" s="583">
        <v>0</v>
      </c>
      <c r="S62" s="581">
        <f t="shared" si="15"/>
        <v>17739941333.486774</v>
      </c>
      <c r="T62" s="556" t="s">
        <v>1193</v>
      </c>
      <c r="U62" s="580">
        <f>+S62</f>
        <v>17739941333.486774</v>
      </c>
      <c r="V62" s="580">
        <v>0</v>
      </c>
      <c r="W62" s="580">
        <v>0</v>
      </c>
      <c r="X62" s="576" t="s">
        <v>1278</v>
      </c>
    </row>
    <row r="63" spans="2:24" ht="63.75">
      <c r="B63" s="955"/>
      <c r="C63" s="563" t="s">
        <v>871</v>
      </c>
      <c r="D63" s="955"/>
      <c r="E63" s="904"/>
      <c r="F63" s="908"/>
      <c r="G63" s="916"/>
      <c r="H63" s="919"/>
      <c r="I63" s="539" t="s">
        <v>1512</v>
      </c>
      <c r="J63" s="522">
        <v>0.9</v>
      </c>
      <c r="K63" s="583">
        <v>3963142681</v>
      </c>
      <c r="L63" s="583">
        <v>0</v>
      </c>
      <c r="M63" s="583">
        <f>+K63*1.095</f>
        <v>4339641235.6949997</v>
      </c>
      <c r="N63" s="583">
        <v>0</v>
      </c>
      <c r="O63" s="583">
        <f>+M63*1.066</f>
        <v>4626057557.2508698</v>
      </c>
      <c r="P63" s="583">
        <v>0</v>
      </c>
      <c r="Q63" s="583">
        <f>+O63*1.04</f>
        <v>4811099859.540905</v>
      </c>
      <c r="R63" s="583">
        <v>0</v>
      </c>
      <c r="S63" s="581">
        <f t="shared" si="15"/>
        <v>17739941333.486774</v>
      </c>
      <c r="T63" s="409" t="s">
        <v>1194</v>
      </c>
      <c r="U63" s="580">
        <f>+S63</f>
        <v>17739941333.486774</v>
      </c>
      <c r="V63" s="580">
        <v>0</v>
      </c>
      <c r="W63" s="580">
        <v>0</v>
      </c>
      <c r="X63" s="576" t="s">
        <v>1278</v>
      </c>
    </row>
    <row r="64" spans="2:24" ht="140.25">
      <c r="B64" s="956"/>
      <c r="C64" s="575" t="s">
        <v>1138</v>
      </c>
      <c r="D64" s="956"/>
      <c r="E64" s="887"/>
      <c r="F64" s="889"/>
      <c r="G64" s="694">
        <v>2</v>
      </c>
      <c r="H64" s="543" t="s">
        <v>1038</v>
      </c>
      <c r="I64" s="544" t="s">
        <v>807</v>
      </c>
      <c r="J64" s="497">
        <v>1</v>
      </c>
      <c r="K64" s="583">
        <v>0</v>
      </c>
      <c r="L64" s="583">
        <v>27600000</v>
      </c>
      <c r="M64" s="583">
        <v>0</v>
      </c>
      <c r="N64" s="583">
        <v>11000000</v>
      </c>
      <c r="O64" s="583">
        <v>0</v>
      </c>
      <c r="P64" s="583">
        <v>0</v>
      </c>
      <c r="Q64" s="583">
        <v>0</v>
      </c>
      <c r="R64" s="583">
        <v>0</v>
      </c>
      <c r="S64" s="581">
        <f t="shared" si="15"/>
        <v>38600000</v>
      </c>
      <c r="T64" s="556" t="s">
        <v>1337</v>
      </c>
      <c r="U64" s="580">
        <f>+S64</f>
        <v>38600000</v>
      </c>
      <c r="V64" s="580">
        <v>0</v>
      </c>
      <c r="W64" s="580">
        <v>0</v>
      </c>
      <c r="X64" s="576" t="s">
        <v>1267</v>
      </c>
    </row>
    <row r="65" spans="2:24" ht="76.5" customHeight="1">
      <c r="B65" s="960" t="s">
        <v>757</v>
      </c>
      <c r="C65" s="568" t="s">
        <v>865</v>
      </c>
      <c r="D65" s="960" t="s">
        <v>573</v>
      </c>
      <c r="E65" s="920" t="s">
        <v>630</v>
      </c>
      <c r="F65" s="925" t="s">
        <v>1390</v>
      </c>
      <c r="G65" s="757">
        <v>1</v>
      </c>
      <c r="H65" s="440" t="s">
        <v>1075</v>
      </c>
      <c r="I65" s="345" t="s">
        <v>811</v>
      </c>
      <c r="J65" s="472">
        <v>1</v>
      </c>
      <c r="K65" s="584">
        <f>62061406+3963142681+320713288+354250937</f>
        <v>4700168312</v>
      </c>
      <c r="L65" s="584">
        <v>0</v>
      </c>
      <c r="M65" s="584">
        <f>+K65*1.095</f>
        <v>5146684301.6400003</v>
      </c>
      <c r="N65" s="584">
        <v>0</v>
      </c>
      <c r="O65" s="584">
        <v>0</v>
      </c>
      <c r="P65" s="584">
        <v>0</v>
      </c>
      <c r="Q65" s="584">
        <f>+O65*1.04</f>
        <v>0</v>
      </c>
      <c r="R65" s="584">
        <v>0</v>
      </c>
      <c r="S65" s="582">
        <f t="shared" si="15"/>
        <v>9846852613.6399994</v>
      </c>
      <c r="T65" s="347" t="s">
        <v>1338</v>
      </c>
      <c r="U65" s="779">
        <f>+S65</f>
        <v>9846852613.6399994</v>
      </c>
      <c r="V65" s="779">
        <v>0</v>
      </c>
      <c r="W65" s="779">
        <v>0</v>
      </c>
      <c r="X65" s="576" t="s">
        <v>1267</v>
      </c>
    </row>
    <row r="66" spans="2:24" ht="40.5" customHeight="1">
      <c r="B66" s="961"/>
      <c r="C66" s="568" t="s">
        <v>865</v>
      </c>
      <c r="D66" s="961"/>
      <c r="E66" s="924"/>
      <c r="F66" s="926"/>
      <c r="G66" s="757">
        <v>2</v>
      </c>
      <c r="H66" s="760" t="s">
        <v>1236</v>
      </c>
      <c r="I66" s="345" t="s">
        <v>812</v>
      </c>
      <c r="J66" s="472">
        <v>0.5</v>
      </c>
      <c r="K66" s="584">
        <v>0</v>
      </c>
      <c r="L66" s="584">
        <v>0</v>
      </c>
      <c r="M66" s="584">
        <v>0</v>
      </c>
      <c r="N66" s="584">
        <v>0</v>
      </c>
      <c r="O66" s="584">
        <v>0</v>
      </c>
      <c r="P66" s="584">
        <v>0</v>
      </c>
      <c r="Q66" s="584">
        <v>0</v>
      </c>
      <c r="R66" s="584">
        <v>0</v>
      </c>
      <c r="S66" s="582">
        <f t="shared" si="15"/>
        <v>0</v>
      </c>
      <c r="T66" s="347" t="s">
        <v>1436</v>
      </c>
      <c r="U66" s="779">
        <v>0</v>
      </c>
      <c r="V66" s="779">
        <v>0</v>
      </c>
      <c r="W66" s="779">
        <v>0</v>
      </c>
      <c r="X66" s="577" t="s">
        <v>1267</v>
      </c>
    </row>
    <row r="67" spans="2:24" ht="76.5">
      <c r="B67" s="961"/>
      <c r="C67" s="568" t="s">
        <v>865</v>
      </c>
      <c r="D67" s="961"/>
      <c r="E67" s="924"/>
      <c r="F67" s="926"/>
      <c r="G67" s="757">
        <v>3</v>
      </c>
      <c r="H67" s="440" t="s">
        <v>1076</v>
      </c>
      <c r="I67" s="345" t="s">
        <v>811</v>
      </c>
      <c r="J67" s="442">
        <v>1</v>
      </c>
      <c r="K67" s="584">
        <f>62061406+3963142681+320713288+354250937</f>
        <v>4700168312</v>
      </c>
      <c r="L67" s="584">
        <v>0</v>
      </c>
      <c r="M67" s="584">
        <f>+K67*1.095</f>
        <v>5146684301.6400003</v>
      </c>
      <c r="N67" s="584">
        <v>0</v>
      </c>
      <c r="O67" s="584">
        <v>0</v>
      </c>
      <c r="P67" s="584">
        <v>0</v>
      </c>
      <c r="Q67" s="584">
        <v>0</v>
      </c>
      <c r="R67" s="584">
        <v>0</v>
      </c>
      <c r="S67" s="582">
        <f t="shared" si="15"/>
        <v>9846852613.6399994</v>
      </c>
      <c r="T67" s="347" t="s">
        <v>1338</v>
      </c>
      <c r="U67" s="779">
        <f>+S67</f>
        <v>9846852613.6399994</v>
      </c>
      <c r="V67" s="779">
        <v>0</v>
      </c>
      <c r="W67" s="779">
        <v>0</v>
      </c>
      <c r="X67" s="576" t="s">
        <v>1282</v>
      </c>
    </row>
    <row r="68" spans="2:24" ht="38.25">
      <c r="B68" s="961"/>
      <c r="C68" s="568" t="s">
        <v>865</v>
      </c>
      <c r="D68" s="961"/>
      <c r="E68" s="924"/>
      <c r="F68" s="926"/>
      <c r="G68" s="757">
        <v>4</v>
      </c>
      <c r="H68" s="760" t="s">
        <v>1237</v>
      </c>
      <c r="I68" s="345" t="s">
        <v>1039</v>
      </c>
      <c r="J68" s="472">
        <v>0.5</v>
      </c>
      <c r="K68" s="584">
        <v>0</v>
      </c>
      <c r="L68" s="584">
        <v>0</v>
      </c>
      <c r="M68" s="584">
        <v>0</v>
      </c>
      <c r="N68" s="584">
        <v>0</v>
      </c>
      <c r="O68" s="584">
        <v>0</v>
      </c>
      <c r="P68" s="584">
        <v>0</v>
      </c>
      <c r="Q68" s="584">
        <v>0</v>
      </c>
      <c r="R68" s="584">
        <v>0</v>
      </c>
      <c r="S68" s="582">
        <f t="shared" si="15"/>
        <v>0</v>
      </c>
      <c r="T68" s="347" t="s">
        <v>1436</v>
      </c>
      <c r="U68" s="779">
        <v>0</v>
      </c>
      <c r="V68" s="779">
        <v>0</v>
      </c>
      <c r="W68" s="779">
        <v>0</v>
      </c>
      <c r="X68" s="577" t="s">
        <v>1267</v>
      </c>
    </row>
    <row r="69" spans="2:24" ht="51">
      <c r="B69" s="566"/>
      <c r="C69" s="568" t="s">
        <v>865</v>
      </c>
      <c r="D69" s="962"/>
      <c r="E69" s="921"/>
      <c r="F69" s="927"/>
      <c r="G69" s="757">
        <v>5</v>
      </c>
      <c r="H69" s="760" t="s">
        <v>1235</v>
      </c>
      <c r="I69" s="345" t="s">
        <v>1110</v>
      </c>
      <c r="J69" s="472">
        <v>1</v>
      </c>
      <c r="K69" s="584">
        <f>(167857834+45379417+136138248)*(1+7.26%)</f>
        <v>374740160.2274</v>
      </c>
      <c r="L69" s="584">
        <v>0</v>
      </c>
      <c r="M69" s="584">
        <f>K69*(1+9.5%)</f>
        <v>410340475.44900298</v>
      </c>
      <c r="N69" s="584">
        <v>0</v>
      </c>
      <c r="O69" s="584">
        <f>M69*(1+6.6%)</f>
        <v>437422946.82863718</v>
      </c>
      <c r="P69" s="584">
        <v>0</v>
      </c>
      <c r="Q69" s="584">
        <f>O69*(1+4%)</f>
        <v>454919864.7017827</v>
      </c>
      <c r="R69" s="584">
        <v>0</v>
      </c>
      <c r="S69" s="582">
        <f t="shared" si="15"/>
        <v>1677423447.2068229</v>
      </c>
      <c r="T69" s="347" t="s">
        <v>1185</v>
      </c>
      <c r="U69" s="779">
        <f>+S69</f>
        <v>1677423447.2068229</v>
      </c>
      <c r="V69" s="779">
        <v>0</v>
      </c>
      <c r="W69" s="779">
        <v>0</v>
      </c>
      <c r="X69" s="576" t="s">
        <v>1266</v>
      </c>
    </row>
    <row r="70" spans="2:24" ht="63.75" customHeight="1">
      <c r="B70" s="954" t="s">
        <v>819</v>
      </c>
      <c r="C70" s="575" t="s">
        <v>865</v>
      </c>
      <c r="D70" s="954" t="s">
        <v>573</v>
      </c>
      <c r="E70" s="886" t="s">
        <v>632</v>
      </c>
      <c r="F70" s="888" t="s">
        <v>1392</v>
      </c>
      <c r="G70" s="754">
        <v>1</v>
      </c>
      <c r="H70" s="758" t="s">
        <v>1317</v>
      </c>
      <c r="I70" s="409" t="s">
        <v>1161</v>
      </c>
      <c r="J70" s="754">
        <v>3</v>
      </c>
      <c r="K70" s="583">
        <v>3963142681</v>
      </c>
      <c r="L70" s="583">
        <v>0</v>
      </c>
      <c r="M70" s="583">
        <f>+K70*1.095</f>
        <v>4339641235.6949997</v>
      </c>
      <c r="N70" s="583">
        <v>0</v>
      </c>
      <c r="O70" s="583">
        <f>+M70*1.066</f>
        <v>4626057557.2508698</v>
      </c>
      <c r="P70" s="583">
        <v>0</v>
      </c>
      <c r="Q70" s="583">
        <v>0</v>
      </c>
      <c r="R70" s="583">
        <v>0</v>
      </c>
      <c r="S70" s="581">
        <f t="shared" si="15"/>
        <v>12928841473.945869</v>
      </c>
      <c r="T70" s="409" t="s">
        <v>1194</v>
      </c>
      <c r="U70" s="580">
        <f>+S70</f>
        <v>12928841473.945869</v>
      </c>
      <c r="V70" s="580">
        <v>0</v>
      </c>
      <c r="W70" s="580">
        <v>0</v>
      </c>
      <c r="X70" s="576" t="s">
        <v>1266</v>
      </c>
    </row>
    <row r="71" spans="2:24" ht="51" customHeight="1">
      <c r="B71" s="955"/>
      <c r="C71" s="954" t="s">
        <v>865</v>
      </c>
      <c r="D71" s="955"/>
      <c r="E71" s="904"/>
      <c r="F71" s="908"/>
      <c r="G71" s="914">
        <v>2</v>
      </c>
      <c r="H71" s="939" t="s">
        <v>820</v>
      </c>
      <c r="I71" s="409" t="s">
        <v>1040</v>
      </c>
      <c r="J71" s="754">
        <v>2</v>
      </c>
      <c r="K71" s="583"/>
      <c r="L71" s="583">
        <v>0</v>
      </c>
      <c r="M71" s="583">
        <v>3242891775</v>
      </c>
      <c r="N71" s="583">
        <v>0</v>
      </c>
      <c r="O71" s="583">
        <f>+M71*1.066</f>
        <v>3456922632.1500001</v>
      </c>
      <c r="P71" s="583">
        <v>0</v>
      </c>
      <c r="Q71" s="583">
        <v>0</v>
      </c>
      <c r="R71" s="583">
        <v>0</v>
      </c>
      <c r="S71" s="581">
        <f t="shared" si="15"/>
        <v>6699814407.1499996</v>
      </c>
      <c r="T71" s="409" t="s">
        <v>1435</v>
      </c>
      <c r="U71" s="580">
        <f t="shared" ref="U71:U72" si="18">+S71</f>
        <v>6699814407.1499996</v>
      </c>
      <c r="V71" s="580">
        <v>0</v>
      </c>
      <c r="W71" s="580">
        <v>0</v>
      </c>
      <c r="X71" s="577" t="s">
        <v>1268</v>
      </c>
    </row>
    <row r="72" spans="2:24" ht="51" customHeight="1">
      <c r="B72" s="956"/>
      <c r="C72" s="956"/>
      <c r="D72" s="956"/>
      <c r="E72" s="887"/>
      <c r="F72" s="889"/>
      <c r="G72" s="916"/>
      <c r="H72" s="940"/>
      <c r="I72" s="409" t="s">
        <v>1239</v>
      </c>
      <c r="J72" s="545">
        <v>0.05</v>
      </c>
      <c r="K72" s="583">
        <v>0</v>
      </c>
      <c r="L72" s="583">
        <v>0</v>
      </c>
      <c r="M72" s="583"/>
      <c r="N72" s="583">
        <v>0</v>
      </c>
      <c r="O72" s="583">
        <v>3456922632.1500001</v>
      </c>
      <c r="P72" s="583">
        <v>0</v>
      </c>
      <c r="Q72" s="583">
        <f>O72*(1+4%)</f>
        <v>3595199537.4360003</v>
      </c>
      <c r="R72" s="583">
        <v>0</v>
      </c>
      <c r="S72" s="581">
        <f t="shared" si="15"/>
        <v>7052122169.5860004</v>
      </c>
      <c r="T72" s="409" t="s">
        <v>1435</v>
      </c>
      <c r="U72" s="580">
        <f t="shared" si="18"/>
        <v>7052122169.5860004</v>
      </c>
      <c r="V72" s="580">
        <v>0</v>
      </c>
      <c r="W72" s="580">
        <v>0</v>
      </c>
      <c r="X72" s="577" t="s">
        <v>1268</v>
      </c>
    </row>
    <row r="73" spans="2:24" ht="216.75">
      <c r="B73" s="960" t="s">
        <v>846</v>
      </c>
      <c r="C73" s="565" t="s">
        <v>869</v>
      </c>
      <c r="D73" s="960" t="s">
        <v>633</v>
      </c>
      <c r="E73" s="920" t="s">
        <v>634</v>
      </c>
      <c r="F73" s="925" t="s">
        <v>998</v>
      </c>
      <c r="G73" s="937">
        <v>1</v>
      </c>
      <c r="H73" s="942" t="s">
        <v>993</v>
      </c>
      <c r="I73" s="345" t="s">
        <v>1162</v>
      </c>
      <c r="J73" s="474">
        <v>3000</v>
      </c>
      <c r="K73" s="584">
        <v>486711987</v>
      </c>
      <c r="L73" s="584">
        <v>111876966</v>
      </c>
      <c r="M73" s="584">
        <f>+K73*1.095</f>
        <v>532949625.76499999</v>
      </c>
      <c r="N73" s="584">
        <v>161000000</v>
      </c>
      <c r="O73" s="584">
        <f>+M73*1.066</f>
        <v>568124301.06549001</v>
      </c>
      <c r="P73" s="584">
        <v>160000000</v>
      </c>
      <c r="Q73" s="584">
        <f>+O73*1.04</f>
        <v>590849273.10810959</v>
      </c>
      <c r="R73" s="584">
        <v>0</v>
      </c>
      <c r="S73" s="582">
        <f t="shared" si="15"/>
        <v>2611512152.9385996</v>
      </c>
      <c r="T73" s="347" t="s">
        <v>1339</v>
      </c>
      <c r="U73" s="779">
        <f>+S73</f>
        <v>2611512152.9385996</v>
      </c>
      <c r="V73" s="779">
        <v>0</v>
      </c>
      <c r="W73" s="779">
        <f>+S73-U73</f>
        <v>0</v>
      </c>
      <c r="X73" s="576" t="s">
        <v>1288</v>
      </c>
    </row>
    <row r="74" spans="2:24" ht="216.75">
      <c r="B74" s="961"/>
      <c r="C74" s="566"/>
      <c r="D74" s="961"/>
      <c r="E74" s="924"/>
      <c r="F74" s="926"/>
      <c r="G74" s="941"/>
      <c r="H74" s="943"/>
      <c r="I74" s="345" t="s">
        <v>994</v>
      </c>
      <c r="J74" s="474">
        <v>2005</v>
      </c>
      <c r="K74" s="584">
        <v>486711987</v>
      </c>
      <c r="L74" s="584">
        <v>111876966</v>
      </c>
      <c r="M74" s="584">
        <f t="shared" ref="M74:M77" si="19">+K74*1.095</f>
        <v>532949625.76499999</v>
      </c>
      <c r="N74" s="584">
        <v>161000000</v>
      </c>
      <c r="O74" s="584">
        <f t="shared" ref="O74:O77" si="20">+M74*1.066</f>
        <v>568124301.06549001</v>
      </c>
      <c r="P74" s="584">
        <v>160000000</v>
      </c>
      <c r="Q74" s="584">
        <f t="shared" ref="Q74:Q77" si="21">+O74*1.04</f>
        <v>590849273.10810959</v>
      </c>
      <c r="R74" s="584">
        <v>0</v>
      </c>
      <c r="S74" s="582">
        <f t="shared" si="15"/>
        <v>2611512152.9385996</v>
      </c>
      <c r="T74" s="347" t="s">
        <v>1339</v>
      </c>
      <c r="U74" s="779">
        <f t="shared" ref="U74:U76" si="22">+S74</f>
        <v>2611512152.9385996</v>
      </c>
      <c r="V74" s="779">
        <v>0</v>
      </c>
      <c r="W74" s="779">
        <f>+S74-U74</f>
        <v>0</v>
      </c>
      <c r="X74" s="576" t="s">
        <v>1285</v>
      </c>
    </row>
    <row r="75" spans="2:24" ht="216.75">
      <c r="B75" s="961"/>
      <c r="C75" s="566"/>
      <c r="D75" s="961"/>
      <c r="E75" s="924"/>
      <c r="F75" s="926"/>
      <c r="G75" s="941"/>
      <c r="H75" s="943"/>
      <c r="I75" s="345" t="s">
        <v>995</v>
      </c>
      <c r="J75" s="479">
        <v>186</v>
      </c>
      <c r="K75" s="584">
        <v>486711987</v>
      </c>
      <c r="L75" s="584">
        <v>111876966</v>
      </c>
      <c r="M75" s="584">
        <f t="shared" si="19"/>
        <v>532949625.76499999</v>
      </c>
      <c r="N75" s="584">
        <v>161000000</v>
      </c>
      <c r="O75" s="584">
        <f t="shared" si="20"/>
        <v>568124301.06549001</v>
      </c>
      <c r="P75" s="584">
        <v>160000000</v>
      </c>
      <c r="Q75" s="584">
        <f t="shared" si="21"/>
        <v>590849273.10810959</v>
      </c>
      <c r="R75" s="584">
        <v>0</v>
      </c>
      <c r="S75" s="582">
        <f t="shared" si="15"/>
        <v>2611512152.9385996</v>
      </c>
      <c r="T75" s="347" t="s">
        <v>1339</v>
      </c>
      <c r="U75" s="779">
        <f t="shared" si="22"/>
        <v>2611512152.9385996</v>
      </c>
      <c r="V75" s="779">
        <v>0</v>
      </c>
      <c r="W75" s="779">
        <f>+S75-U75</f>
        <v>0</v>
      </c>
      <c r="X75" s="576" t="s">
        <v>1285</v>
      </c>
    </row>
    <row r="76" spans="2:24" ht="216.75">
      <c r="B76" s="962"/>
      <c r="C76" s="567"/>
      <c r="D76" s="962"/>
      <c r="E76" s="921"/>
      <c r="F76" s="927"/>
      <c r="G76" s="938"/>
      <c r="H76" s="944"/>
      <c r="I76" s="345" t="s">
        <v>996</v>
      </c>
      <c r="J76" s="579">
        <v>65</v>
      </c>
      <c r="K76" s="584">
        <v>486711987</v>
      </c>
      <c r="L76" s="584">
        <v>111876966</v>
      </c>
      <c r="M76" s="584">
        <f t="shared" si="19"/>
        <v>532949625.76499999</v>
      </c>
      <c r="N76" s="584">
        <v>161000000</v>
      </c>
      <c r="O76" s="584">
        <f t="shared" si="20"/>
        <v>568124301.06549001</v>
      </c>
      <c r="P76" s="584">
        <v>160000000</v>
      </c>
      <c r="Q76" s="584">
        <f t="shared" si="21"/>
        <v>590849273.10810959</v>
      </c>
      <c r="R76" s="584">
        <v>0</v>
      </c>
      <c r="S76" s="582">
        <f t="shared" si="15"/>
        <v>2611512152.9385996</v>
      </c>
      <c r="T76" s="347" t="s">
        <v>1339</v>
      </c>
      <c r="U76" s="779">
        <f t="shared" si="22"/>
        <v>2611512152.9385996</v>
      </c>
      <c r="V76" s="779">
        <v>0</v>
      </c>
      <c r="W76" s="779">
        <f>+S76-U76</f>
        <v>0</v>
      </c>
      <c r="X76" s="576" t="s">
        <v>1285</v>
      </c>
    </row>
    <row r="77" spans="2:24" ht="63.75">
      <c r="B77" s="575" t="s">
        <v>846</v>
      </c>
      <c r="C77" s="575" t="s">
        <v>865</v>
      </c>
      <c r="D77" s="575" t="s">
        <v>633</v>
      </c>
      <c r="E77" s="749" t="s">
        <v>635</v>
      </c>
      <c r="F77" s="519" t="s">
        <v>637</v>
      </c>
      <c r="G77" s="718">
        <v>1</v>
      </c>
      <c r="H77" s="409" t="s">
        <v>1042</v>
      </c>
      <c r="I77" s="409" t="s">
        <v>787</v>
      </c>
      <c r="J77" s="495">
        <v>1</v>
      </c>
      <c r="K77" s="583">
        <f>203940964+(20591354*1.0726)</f>
        <v>226027250.30039999</v>
      </c>
      <c r="L77" s="583">
        <v>0</v>
      </c>
      <c r="M77" s="583">
        <f t="shared" si="19"/>
        <v>247499839.07893798</v>
      </c>
      <c r="N77" s="583">
        <v>0</v>
      </c>
      <c r="O77" s="583">
        <f t="shared" si="20"/>
        <v>263834828.45814791</v>
      </c>
      <c r="P77" s="583">
        <v>0</v>
      </c>
      <c r="Q77" s="583">
        <f t="shared" si="21"/>
        <v>274388221.59647381</v>
      </c>
      <c r="R77" s="583">
        <v>0</v>
      </c>
      <c r="S77" s="581">
        <f t="shared" si="15"/>
        <v>1011750139.4339597</v>
      </c>
      <c r="T77" s="409" t="s">
        <v>1195</v>
      </c>
      <c r="U77" s="580">
        <f t="shared" ref="U77:U86" si="23">+S77</f>
        <v>1011750139.4339597</v>
      </c>
      <c r="V77" s="580">
        <v>0</v>
      </c>
      <c r="W77" s="580">
        <v>0</v>
      </c>
      <c r="X77" s="576" t="s">
        <v>1267</v>
      </c>
    </row>
    <row r="78" spans="2:24" ht="51" customHeight="1">
      <c r="B78" s="960" t="s">
        <v>846</v>
      </c>
      <c r="C78" s="565" t="s">
        <v>882</v>
      </c>
      <c r="D78" s="960" t="s">
        <v>633</v>
      </c>
      <c r="E78" s="920" t="s">
        <v>636</v>
      </c>
      <c r="F78" s="925" t="s">
        <v>1358</v>
      </c>
      <c r="G78" s="937">
        <v>1</v>
      </c>
      <c r="H78" s="948" t="s">
        <v>1159</v>
      </c>
      <c r="I78" s="617" t="s">
        <v>1513</v>
      </c>
      <c r="J78" s="472">
        <v>1</v>
      </c>
      <c r="K78" s="584">
        <f>(167857834+45379417+136138248)*(1+7.26%)</f>
        <v>374740160.2274</v>
      </c>
      <c r="L78" s="584">
        <v>0</v>
      </c>
      <c r="M78" s="584">
        <f>K78*(1+9.5%)</f>
        <v>410340475.44900298</v>
      </c>
      <c r="N78" s="584">
        <v>0</v>
      </c>
      <c r="O78" s="584">
        <f>M78*(1+6.6%)</f>
        <v>437422946.82863718</v>
      </c>
      <c r="P78" s="584">
        <v>0</v>
      </c>
      <c r="Q78" s="584">
        <f>O78*(1+4%)</f>
        <v>454919864.7017827</v>
      </c>
      <c r="R78" s="584">
        <v>0</v>
      </c>
      <c r="S78" s="582">
        <f t="shared" si="15"/>
        <v>1677423447.2068229</v>
      </c>
      <c r="T78" s="347" t="s">
        <v>1185</v>
      </c>
      <c r="U78" s="779">
        <f t="shared" si="23"/>
        <v>1677423447.2068229</v>
      </c>
      <c r="V78" s="779">
        <v>0</v>
      </c>
      <c r="W78" s="779">
        <v>0</v>
      </c>
      <c r="X78" s="576" t="s">
        <v>1266</v>
      </c>
    </row>
    <row r="79" spans="2:24" ht="51">
      <c r="B79" s="962"/>
      <c r="C79" s="567"/>
      <c r="D79" s="962"/>
      <c r="E79" s="921"/>
      <c r="F79" s="927"/>
      <c r="G79" s="938"/>
      <c r="H79" s="949"/>
      <c r="I79" s="617" t="s">
        <v>1514</v>
      </c>
      <c r="J79" s="472">
        <v>1</v>
      </c>
      <c r="K79" s="584">
        <f>(167857834+45379417+136138248)*(1+7.26%)</f>
        <v>374740160.2274</v>
      </c>
      <c r="L79" s="584">
        <v>0</v>
      </c>
      <c r="M79" s="584">
        <f>K79*(1+9.5%)</f>
        <v>410340475.44900298</v>
      </c>
      <c r="N79" s="584">
        <v>0</v>
      </c>
      <c r="O79" s="584">
        <f>M79*(1+6.6%)</f>
        <v>437422946.82863718</v>
      </c>
      <c r="P79" s="584">
        <v>0</v>
      </c>
      <c r="Q79" s="584">
        <f>O79*(1+4%)</f>
        <v>454919864.7017827</v>
      </c>
      <c r="R79" s="584">
        <v>0</v>
      </c>
      <c r="S79" s="582">
        <f t="shared" si="15"/>
        <v>1677423447.2068229</v>
      </c>
      <c r="T79" s="347" t="s">
        <v>1185</v>
      </c>
      <c r="U79" s="779">
        <f t="shared" si="23"/>
        <v>1677423447.2068229</v>
      </c>
      <c r="V79" s="779">
        <v>0</v>
      </c>
      <c r="W79" s="779">
        <v>0</v>
      </c>
      <c r="X79" s="576" t="s">
        <v>1266</v>
      </c>
    </row>
    <row r="80" spans="2:24" ht="63.75">
      <c r="B80" s="575" t="s">
        <v>846</v>
      </c>
      <c r="C80" s="575" t="s">
        <v>859</v>
      </c>
      <c r="D80" s="575" t="s">
        <v>633</v>
      </c>
      <c r="E80" s="749" t="s">
        <v>638</v>
      </c>
      <c r="F80" s="519" t="s">
        <v>1359</v>
      </c>
      <c r="G80" s="718">
        <v>1</v>
      </c>
      <c r="H80" s="409" t="s">
        <v>570</v>
      </c>
      <c r="I80" s="409" t="s">
        <v>1515</v>
      </c>
      <c r="J80" s="787">
        <v>3</v>
      </c>
      <c r="K80" s="583">
        <v>0</v>
      </c>
      <c r="L80" s="583">
        <v>0</v>
      </c>
      <c r="M80" s="583">
        <v>0</v>
      </c>
      <c r="N80" s="583">
        <v>0</v>
      </c>
      <c r="O80" s="583">
        <v>0</v>
      </c>
      <c r="P80" s="583">
        <v>0</v>
      </c>
      <c r="Q80" s="583">
        <v>0</v>
      </c>
      <c r="R80" s="583">
        <v>0</v>
      </c>
      <c r="S80" s="581">
        <f t="shared" si="15"/>
        <v>0</v>
      </c>
      <c r="T80" s="409" t="s">
        <v>1451</v>
      </c>
      <c r="U80" s="580">
        <f t="shared" si="23"/>
        <v>0</v>
      </c>
      <c r="V80" s="580">
        <v>0</v>
      </c>
      <c r="W80" s="580">
        <v>0</v>
      </c>
      <c r="X80" s="577" t="s">
        <v>1243</v>
      </c>
    </row>
    <row r="81" spans="1:24" ht="191.25">
      <c r="B81" s="960" t="s">
        <v>847</v>
      </c>
      <c r="C81" s="565" t="s">
        <v>865</v>
      </c>
      <c r="D81" s="960" t="s">
        <v>633</v>
      </c>
      <c r="E81" s="920" t="s">
        <v>640</v>
      </c>
      <c r="F81" s="925" t="s">
        <v>1092</v>
      </c>
      <c r="G81" s="344">
        <v>1</v>
      </c>
      <c r="H81" s="345" t="s">
        <v>447</v>
      </c>
      <c r="I81" s="345" t="s">
        <v>1111</v>
      </c>
      <c r="J81" s="442">
        <v>1</v>
      </c>
      <c r="K81" s="584">
        <f t="shared" ref="K81:K86" si="24">486711987+422374911</f>
        <v>909086898</v>
      </c>
      <c r="L81" s="584">
        <v>111876966</v>
      </c>
      <c r="M81" s="584">
        <f t="shared" ref="M81:M86" si="25">+K81*1.095</f>
        <v>995450153.30999994</v>
      </c>
      <c r="N81" s="584">
        <v>161000000</v>
      </c>
      <c r="O81" s="584">
        <f t="shared" ref="O81:O87" si="26">+M81*1.066</f>
        <v>1061149863.42846</v>
      </c>
      <c r="P81" s="584">
        <v>160000000</v>
      </c>
      <c r="Q81" s="584">
        <f t="shared" ref="Q81:Q87" si="27">+O81*1.04</f>
        <v>1103595857.9655983</v>
      </c>
      <c r="R81" s="584">
        <v>0</v>
      </c>
      <c r="S81" s="582">
        <f t="shared" si="15"/>
        <v>4502159738.7040586</v>
      </c>
      <c r="T81" s="347" t="s">
        <v>1340</v>
      </c>
      <c r="U81" s="779">
        <f>+J81+M81+O81+Q81</f>
        <v>3160195875.7040586</v>
      </c>
      <c r="V81" s="779">
        <v>0</v>
      </c>
      <c r="W81" s="779">
        <f>+S81-U81</f>
        <v>1341963863</v>
      </c>
      <c r="X81" s="576" t="s">
        <v>1266</v>
      </c>
    </row>
    <row r="82" spans="1:24" ht="191.25">
      <c r="B82" s="961"/>
      <c r="C82" s="565" t="s">
        <v>865</v>
      </c>
      <c r="D82" s="961"/>
      <c r="E82" s="924"/>
      <c r="F82" s="926"/>
      <c r="G82" s="344">
        <v>2</v>
      </c>
      <c r="H82" s="345" t="s">
        <v>426</v>
      </c>
      <c r="I82" s="345" t="s">
        <v>1112</v>
      </c>
      <c r="J82" s="442">
        <v>1</v>
      </c>
      <c r="K82" s="584">
        <f t="shared" si="24"/>
        <v>909086898</v>
      </c>
      <c r="L82" s="584">
        <v>111876966</v>
      </c>
      <c r="M82" s="584">
        <f t="shared" si="25"/>
        <v>995450153.30999994</v>
      </c>
      <c r="N82" s="584">
        <v>161000000</v>
      </c>
      <c r="O82" s="584">
        <f t="shared" si="26"/>
        <v>1061149863.42846</v>
      </c>
      <c r="P82" s="584">
        <v>160000000</v>
      </c>
      <c r="Q82" s="584">
        <f t="shared" si="27"/>
        <v>1103595857.9655983</v>
      </c>
      <c r="R82" s="584">
        <v>0</v>
      </c>
      <c r="S82" s="582">
        <f t="shared" si="15"/>
        <v>4502159738.7040586</v>
      </c>
      <c r="T82" s="347" t="s">
        <v>1340</v>
      </c>
      <c r="U82" s="779">
        <f>+J82+M82+O82+Q82</f>
        <v>3160195875.7040586</v>
      </c>
      <c r="V82" s="779">
        <v>0</v>
      </c>
      <c r="W82" s="779">
        <f>+S82-U82</f>
        <v>1341963863</v>
      </c>
      <c r="X82" s="576" t="s">
        <v>1266</v>
      </c>
    </row>
    <row r="83" spans="1:24" ht="191.25">
      <c r="B83" s="961"/>
      <c r="C83" s="565" t="s">
        <v>865</v>
      </c>
      <c r="D83" s="961"/>
      <c r="E83" s="924"/>
      <c r="F83" s="926"/>
      <c r="G83" s="757">
        <v>3</v>
      </c>
      <c r="H83" s="345" t="s">
        <v>429</v>
      </c>
      <c r="I83" s="345" t="s">
        <v>1113</v>
      </c>
      <c r="J83" s="442">
        <v>1</v>
      </c>
      <c r="K83" s="584">
        <f t="shared" si="24"/>
        <v>909086898</v>
      </c>
      <c r="L83" s="584">
        <v>111876966</v>
      </c>
      <c r="M83" s="584">
        <f t="shared" si="25"/>
        <v>995450153.30999994</v>
      </c>
      <c r="N83" s="584">
        <v>161000000</v>
      </c>
      <c r="O83" s="584">
        <f t="shared" si="26"/>
        <v>1061149863.42846</v>
      </c>
      <c r="P83" s="584">
        <v>160000000</v>
      </c>
      <c r="Q83" s="584">
        <f t="shared" si="27"/>
        <v>1103595857.9655983</v>
      </c>
      <c r="R83" s="584">
        <v>0</v>
      </c>
      <c r="S83" s="582">
        <f t="shared" si="15"/>
        <v>4502159738.7040586</v>
      </c>
      <c r="T83" s="347" t="s">
        <v>1340</v>
      </c>
      <c r="U83" s="779">
        <f>+J83+M83+O83+Q83</f>
        <v>3160195875.7040586</v>
      </c>
      <c r="V83" s="779">
        <v>0</v>
      </c>
      <c r="W83" s="779">
        <f>+S83-U83</f>
        <v>1341963863</v>
      </c>
      <c r="X83" s="576" t="s">
        <v>1266</v>
      </c>
    </row>
    <row r="84" spans="1:24" ht="191.25">
      <c r="B84" s="962"/>
      <c r="C84" s="565" t="s">
        <v>865</v>
      </c>
      <c r="D84" s="962"/>
      <c r="E84" s="921"/>
      <c r="F84" s="927"/>
      <c r="G84" s="757">
        <v>4</v>
      </c>
      <c r="H84" s="436" t="s">
        <v>997</v>
      </c>
      <c r="I84" s="345" t="s">
        <v>1160</v>
      </c>
      <c r="J84" s="477">
        <v>30</v>
      </c>
      <c r="K84" s="584">
        <f t="shared" si="24"/>
        <v>909086898</v>
      </c>
      <c r="L84" s="584">
        <v>111876966</v>
      </c>
      <c r="M84" s="584">
        <f t="shared" si="25"/>
        <v>995450153.30999994</v>
      </c>
      <c r="N84" s="584">
        <v>161000000</v>
      </c>
      <c r="O84" s="584">
        <f t="shared" si="26"/>
        <v>1061149863.42846</v>
      </c>
      <c r="P84" s="584">
        <v>160000000</v>
      </c>
      <c r="Q84" s="584">
        <f t="shared" si="27"/>
        <v>1103595857.9655983</v>
      </c>
      <c r="R84" s="584">
        <v>0</v>
      </c>
      <c r="S84" s="582">
        <f t="shared" si="15"/>
        <v>4502159738.7040586</v>
      </c>
      <c r="T84" s="347" t="s">
        <v>1340</v>
      </c>
      <c r="U84" s="779">
        <f>+K84+L84+M84+O84+Q84</f>
        <v>4181159738.7040586</v>
      </c>
      <c r="V84" s="779">
        <v>0</v>
      </c>
      <c r="W84" s="779">
        <f>+S84-U84</f>
        <v>321000000</v>
      </c>
      <c r="X84" s="576" t="s">
        <v>1266</v>
      </c>
    </row>
    <row r="85" spans="1:24" ht="191.25">
      <c r="B85" s="575" t="s">
        <v>846</v>
      </c>
      <c r="C85" s="575" t="s">
        <v>863</v>
      </c>
      <c r="D85" s="575" t="s">
        <v>633</v>
      </c>
      <c r="E85" s="749" t="s">
        <v>641</v>
      </c>
      <c r="F85" s="519" t="s">
        <v>1393</v>
      </c>
      <c r="G85" s="718">
        <v>1</v>
      </c>
      <c r="H85" s="409" t="s">
        <v>560</v>
      </c>
      <c r="I85" s="606" t="s">
        <v>1043</v>
      </c>
      <c r="J85" s="784">
        <v>20000</v>
      </c>
      <c r="K85" s="583">
        <f t="shared" si="24"/>
        <v>909086898</v>
      </c>
      <c r="L85" s="583">
        <v>111876966</v>
      </c>
      <c r="M85" s="583">
        <f t="shared" si="25"/>
        <v>995450153.30999994</v>
      </c>
      <c r="N85" s="583">
        <v>161000000</v>
      </c>
      <c r="O85" s="583">
        <f t="shared" si="26"/>
        <v>1061149863.42846</v>
      </c>
      <c r="P85" s="583">
        <v>160000000</v>
      </c>
      <c r="Q85" s="583">
        <f t="shared" si="27"/>
        <v>1103595857.9655983</v>
      </c>
      <c r="R85" s="583">
        <v>0</v>
      </c>
      <c r="S85" s="581">
        <f t="shared" si="15"/>
        <v>4502159738.7040586</v>
      </c>
      <c r="T85" s="409" t="s">
        <v>1340</v>
      </c>
      <c r="U85" s="580">
        <f t="shared" si="23"/>
        <v>4502159738.7040586</v>
      </c>
      <c r="V85" s="580">
        <v>0</v>
      </c>
      <c r="W85" s="580">
        <v>0</v>
      </c>
      <c r="X85" s="576" t="s">
        <v>1268</v>
      </c>
    </row>
    <row r="86" spans="1:24" ht="51" customHeight="1">
      <c r="B86" s="960" t="s">
        <v>848</v>
      </c>
      <c r="C86" s="565" t="s">
        <v>865</v>
      </c>
      <c r="D86" s="960" t="s">
        <v>633</v>
      </c>
      <c r="E86" s="920" t="s">
        <v>741</v>
      </c>
      <c r="F86" s="925" t="s">
        <v>646</v>
      </c>
      <c r="G86" s="344">
        <v>1</v>
      </c>
      <c r="H86" s="345" t="s">
        <v>643</v>
      </c>
      <c r="I86" s="345" t="s">
        <v>1080</v>
      </c>
      <c r="J86" s="442">
        <v>1</v>
      </c>
      <c r="K86" s="584">
        <f t="shared" si="24"/>
        <v>909086898</v>
      </c>
      <c r="L86" s="584">
        <v>0</v>
      </c>
      <c r="M86" s="584">
        <f t="shared" si="25"/>
        <v>995450153.30999994</v>
      </c>
      <c r="N86" s="584">
        <v>0</v>
      </c>
      <c r="O86" s="584">
        <f t="shared" si="26"/>
        <v>1061149863.42846</v>
      </c>
      <c r="P86" s="584">
        <v>0</v>
      </c>
      <c r="Q86" s="584">
        <f t="shared" si="27"/>
        <v>1103595857.9655983</v>
      </c>
      <c r="R86" s="584">
        <v>0</v>
      </c>
      <c r="S86" s="582">
        <f t="shared" ref="S86:S114" si="28">SUM(K86:R86)</f>
        <v>4069282772.7040586</v>
      </c>
      <c r="T86" s="347" t="s">
        <v>1274</v>
      </c>
      <c r="U86" s="779">
        <f t="shared" si="23"/>
        <v>4069282772.7040586</v>
      </c>
      <c r="V86" s="779">
        <v>0</v>
      </c>
      <c r="W86" s="779">
        <v>0</v>
      </c>
      <c r="X86" s="576" t="s">
        <v>1266</v>
      </c>
    </row>
    <row r="87" spans="1:24" ht="114.75">
      <c r="B87" s="961"/>
      <c r="C87" s="565" t="s">
        <v>865</v>
      </c>
      <c r="D87" s="961"/>
      <c r="E87" s="924"/>
      <c r="F87" s="926"/>
      <c r="G87" s="344">
        <v>2</v>
      </c>
      <c r="H87" s="345" t="s">
        <v>1448</v>
      </c>
      <c r="I87" s="345" t="s">
        <v>1516</v>
      </c>
      <c r="J87" s="442">
        <v>0.5</v>
      </c>
      <c r="K87" s="584">
        <f>731680185+930795838</f>
        <v>1662476023</v>
      </c>
      <c r="L87" s="585">
        <v>94000000</v>
      </c>
      <c r="M87" s="584">
        <f>+K87*1.095</f>
        <v>1820411245.1849999</v>
      </c>
      <c r="N87" s="585">
        <v>125000000</v>
      </c>
      <c r="O87" s="584">
        <f t="shared" si="26"/>
        <v>1940558387.3672101</v>
      </c>
      <c r="P87" s="585">
        <v>113000000</v>
      </c>
      <c r="Q87" s="584">
        <f t="shared" si="27"/>
        <v>2018180722.8618987</v>
      </c>
      <c r="R87" s="585">
        <v>0</v>
      </c>
      <c r="S87" s="582">
        <f t="shared" si="28"/>
        <v>7773626378.4141083</v>
      </c>
      <c r="T87" s="347" t="s">
        <v>1207</v>
      </c>
      <c r="U87" s="779">
        <f>+S87</f>
        <v>7773626378.4141083</v>
      </c>
      <c r="V87" s="779">
        <v>0</v>
      </c>
      <c r="W87" s="779">
        <f>+S87-U87</f>
        <v>0</v>
      </c>
      <c r="X87" s="576" t="s">
        <v>1266</v>
      </c>
    </row>
    <row r="88" spans="1:24" ht="51" customHeight="1">
      <c r="B88" s="961"/>
      <c r="C88" s="568" t="s">
        <v>1146</v>
      </c>
      <c r="D88" s="961"/>
      <c r="E88" s="924"/>
      <c r="F88" s="926"/>
      <c r="G88" s="344">
        <v>3</v>
      </c>
      <c r="H88" s="345" t="s">
        <v>645</v>
      </c>
      <c r="I88" s="481" t="s">
        <v>1082</v>
      </c>
      <c r="J88" s="480">
        <v>4</v>
      </c>
      <c r="K88" s="585">
        <v>0</v>
      </c>
      <c r="L88" s="585">
        <v>0</v>
      </c>
      <c r="M88" s="585">
        <v>0</v>
      </c>
      <c r="N88" s="585">
        <v>0</v>
      </c>
      <c r="O88" s="585">
        <v>0</v>
      </c>
      <c r="P88" s="585">
        <v>0</v>
      </c>
      <c r="Q88" s="585">
        <v>0</v>
      </c>
      <c r="R88" s="585">
        <v>0</v>
      </c>
      <c r="S88" s="588">
        <f t="shared" si="28"/>
        <v>0</v>
      </c>
      <c r="T88" s="347" t="s">
        <v>1203</v>
      </c>
      <c r="U88" s="780">
        <v>0</v>
      </c>
      <c r="V88" s="780">
        <v>0</v>
      </c>
      <c r="W88" s="780">
        <v>0</v>
      </c>
      <c r="X88" s="576" t="s">
        <v>1269</v>
      </c>
    </row>
    <row r="89" spans="1:24" ht="129.75" customHeight="1">
      <c r="B89" s="961"/>
      <c r="C89" s="960" t="s">
        <v>865</v>
      </c>
      <c r="D89" s="961"/>
      <c r="E89" s="924"/>
      <c r="F89" s="926"/>
      <c r="G89" s="937">
        <v>4</v>
      </c>
      <c r="H89" s="942" t="s">
        <v>1083</v>
      </c>
      <c r="I89" s="572" t="s">
        <v>1517</v>
      </c>
      <c r="J89" s="482">
        <v>0.5</v>
      </c>
      <c r="K89" s="585">
        <v>0</v>
      </c>
      <c r="L89" s="585">
        <v>125000000</v>
      </c>
      <c r="M89" s="585">
        <v>0</v>
      </c>
      <c r="N89" s="585">
        <v>0</v>
      </c>
      <c r="O89" s="585">
        <v>0</v>
      </c>
      <c r="P89" s="585">
        <v>0</v>
      </c>
      <c r="Q89" s="585">
        <v>0</v>
      </c>
      <c r="R89" s="585">
        <v>0</v>
      </c>
      <c r="S89" s="582">
        <f t="shared" si="28"/>
        <v>125000000</v>
      </c>
      <c r="T89" s="436" t="s">
        <v>1430</v>
      </c>
      <c r="U89" s="779">
        <f>+S89</f>
        <v>125000000</v>
      </c>
      <c r="V89" s="779">
        <v>0</v>
      </c>
      <c r="W89" s="779">
        <v>0</v>
      </c>
      <c r="X89" s="576" t="s">
        <v>1265</v>
      </c>
    </row>
    <row r="90" spans="1:24" ht="46.5" customHeight="1">
      <c r="B90" s="961"/>
      <c r="C90" s="962"/>
      <c r="D90" s="961"/>
      <c r="E90" s="924"/>
      <c r="F90" s="926"/>
      <c r="G90" s="938"/>
      <c r="H90" s="944"/>
      <c r="I90" s="572" t="s">
        <v>1016</v>
      </c>
      <c r="J90" s="482">
        <v>0.2</v>
      </c>
      <c r="K90" s="585">
        <v>0</v>
      </c>
      <c r="L90" s="585">
        <v>0</v>
      </c>
      <c r="M90" s="585">
        <v>0</v>
      </c>
      <c r="N90" s="585">
        <v>0</v>
      </c>
      <c r="O90" s="585">
        <v>0</v>
      </c>
      <c r="P90" s="585">
        <v>0</v>
      </c>
      <c r="Q90" s="585">
        <v>0</v>
      </c>
      <c r="R90" s="585">
        <v>0</v>
      </c>
      <c r="S90" s="582">
        <f t="shared" si="28"/>
        <v>0</v>
      </c>
      <c r="T90" s="778" t="s">
        <v>1204</v>
      </c>
      <c r="U90" s="779">
        <v>0</v>
      </c>
      <c r="V90" s="779">
        <v>0</v>
      </c>
      <c r="W90" s="779">
        <v>0</v>
      </c>
      <c r="X90" s="576" t="s">
        <v>1266</v>
      </c>
    </row>
    <row r="91" spans="1:24" ht="38.25">
      <c r="B91" s="962"/>
      <c r="C91" s="568" t="s">
        <v>1145</v>
      </c>
      <c r="D91" s="962"/>
      <c r="E91" s="921"/>
      <c r="F91" s="927"/>
      <c r="G91" s="757">
        <v>5</v>
      </c>
      <c r="H91" s="484" t="s">
        <v>1004</v>
      </c>
      <c r="I91" s="345" t="s">
        <v>1518</v>
      </c>
      <c r="J91" s="442">
        <v>1</v>
      </c>
      <c r="K91" s="584">
        <v>0</v>
      </c>
      <c r="L91" s="584">
        <v>0</v>
      </c>
      <c r="M91" s="584">
        <v>0</v>
      </c>
      <c r="N91" s="584">
        <v>0</v>
      </c>
      <c r="O91" s="584">
        <v>0</v>
      </c>
      <c r="P91" s="584">
        <v>0</v>
      </c>
      <c r="Q91" s="584">
        <v>0</v>
      </c>
      <c r="R91" s="584">
        <v>0</v>
      </c>
      <c r="S91" s="582">
        <f t="shared" si="28"/>
        <v>0</v>
      </c>
      <c r="T91" s="778" t="s">
        <v>1204</v>
      </c>
      <c r="U91" s="779">
        <v>0</v>
      </c>
      <c r="V91" s="779">
        <v>0</v>
      </c>
      <c r="W91" s="779">
        <v>0</v>
      </c>
      <c r="X91" s="576" t="s">
        <v>1266</v>
      </c>
    </row>
    <row r="92" spans="1:24" s="437" customFormat="1" ht="170.25" customHeight="1">
      <c r="A92" s="431"/>
      <c r="B92" s="954" t="s">
        <v>852</v>
      </c>
      <c r="C92" s="563" t="s">
        <v>1143</v>
      </c>
      <c r="D92" s="954" t="s">
        <v>273</v>
      </c>
      <c r="E92" s="886" t="s">
        <v>647</v>
      </c>
      <c r="F92" s="888" t="s">
        <v>981</v>
      </c>
      <c r="G92" s="718">
        <v>1</v>
      </c>
      <c r="H92" s="409" t="s">
        <v>794</v>
      </c>
      <c r="I92" s="409" t="s">
        <v>1519</v>
      </c>
      <c r="J92" s="495">
        <v>1</v>
      </c>
      <c r="K92" s="583">
        <v>436498612</v>
      </c>
      <c r="L92" s="583">
        <v>0</v>
      </c>
      <c r="M92" s="583">
        <v>0</v>
      </c>
      <c r="N92" s="583">
        <v>0</v>
      </c>
      <c r="O92" s="583">
        <v>0</v>
      </c>
      <c r="P92" s="583">
        <v>0</v>
      </c>
      <c r="Q92" s="583">
        <v>0</v>
      </c>
      <c r="R92" s="583">
        <v>0</v>
      </c>
      <c r="S92" s="581">
        <f t="shared" si="28"/>
        <v>436498612</v>
      </c>
      <c r="T92" s="409" t="s">
        <v>1270</v>
      </c>
      <c r="U92" s="580">
        <f>+S92</f>
        <v>436498612</v>
      </c>
      <c r="V92" s="580">
        <v>0</v>
      </c>
      <c r="W92" s="580">
        <v>0</v>
      </c>
      <c r="X92" s="578" t="s">
        <v>1267</v>
      </c>
    </row>
    <row r="93" spans="1:24" ht="139.5" customHeight="1">
      <c r="B93" s="955"/>
      <c r="C93" s="563" t="s">
        <v>1143</v>
      </c>
      <c r="D93" s="955"/>
      <c r="E93" s="904"/>
      <c r="F93" s="908"/>
      <c r="G93" s="914">
        <v>2</v>
      </c>
      <c r="H93" s="939" t="s">
        <v>1248</v>
      </c>
      <c r="I93" s="409" t="s">
        <v>986</v>
      </c>
      <c r="J93" s="550">
        <v>4</v>
      </c>
      <c r="K93" s="583">
        <v>436498612</v>
      </c>
      <c r="L93" s="583">
        <v>0</v>
      </c>
      <c r="M93" s="583">
        <f>+K93*1.095</f>
        <v>477965980.13999999</v>
      </c>
      <c r="N93" s="583">
        <v>0</v>
      </c>
      <c r="O93" s="583">
        <f t="shared" ref="O93:O95" si="29">+M93*1.066</f>
        <v>509511734.82924002</v>
      </c>
      <c r="P93" s="583">
        <v>0</v>
      </c>
      <c r="Q93" s="583">
        <v>0</v>
      </c>
      <c r="R93" s="583">
        <v>0</v>
      </c>
      <c r="S93" s="581">
        <f t="shared" si="28"/>
        <v>1423976326.96924</v>
      </c>
      <c r="T93" s="409" t="s">
        <v>1197</v>
      </c>
      <c r="U93" s="580">
        <f>+S93</f>
        <v>1423976326.96924</v>
      </c>
      <c r="V93" s="580">
        <v>0</v>
      </c>
      <c r="W93" s="580">
        <v>0</v>
      </c>
      <c r="X93" s="576" t="s">
        <v>1268</v>
      </c>
    </row>
    <row r="94" spans="1:24" ht="102">
      <c r="B94" s="955"/>
      <c r="C94" s="563" t="s">
        <v>1143</v>
      </c>
      <c r="D94" s="955"/>
      <c r="E94" s="904"/>
      <c r="F94" s="908"/>
      <c r="G94" s="916"/>
      <c r="H94" s="940"/>
      <c r="I94" s="409" t="s">
        <v>982</v>
      </c>
      <c r="J94" s="551">
        <v>2</v>
      </c>
      <c r="K94" s="583">
        <v>436498612</v>
      </c>
      <c r="L94" s="583">
        <v>0</v>
      </c>
      <c r="M94" s="583">
        <f>+K94*1.095</f>
        <v>477965980.13999999</v>
      </c>
      <c r="N94" s="583">
        <v>0</v>
      </c>
      <c r="O94" s="583">
        <f t="shared" si="29"/>
        <v>509511734.82924002</v>
      </c>
      <c r="P94" s="583">
        <v>0</v>
      </c>
      <c r="Q94" s="583">
        <v>0</v>
      </c>
      <c r="R94" s="583">
        <v>0</v>
      </c>
      <c r="S94" s="581">
        <f t="shared" si="28"/>
        <v>1423976326.96924</v>
      </c>
      <c r="T94" s="409" t="s">
        <v>1197</v>
      </c>
      <c r="U94" s="580">
        <f>+S94</f>
        <v>1423976326.96924</v>
      </c>
      <c r="V94" s="580">
        <v>0</v>
      </c>
      <c r="W94" s="580">
        <v>0</v>
      </c>
      <c r="X94" s="576" t="s">
        <v>1268</v>
      </c>
    </row>
    <row r="95" spans="1:24" ht="127.5">
      <c r="B95" s="955"/>
      <c r="C95" s="563" t="s">
        <v>1143</v>
      </c>
      <c r="D95" s="955"/>
      <c r="E95" s="904"/>
      <c r="F95" s="908"/>
      <c r="G95" s="755">
        <v>3</v>
      </c>
      <c r="H95" s="759" t="s">
        <v>1360</v>
      </c>
      <c r="I95" s="409" t="s">
        <v>1084</v>
      </c>
      <c r="J95" s="550">
        <v>2</v>
      </c>
      <c r="K95" s="583">
        <v>0</v>
      </c>
      <c r="L95" s="583">
        <v>0</v>
      </c>
      <c r="M95" s="583">
        <f>(196293900.48*(1+7.26%)+335131643+101366969)*(1+9.5%)</f>
        <v>708512577.37205851</v>
      </c>
      <c r="N95" s="583">
        <v>0</v>
      </c>
      <c r="O95" s="583">
        <f t="shared" si="29"/>
        <v>755274407.47861445</v>
      </c>
      <c r="P95" s="583">
        <v>0</v>
      </c>
      <c r="Q95" s="583">
        <f t="shared" ref="Q95" si="30">+O95*1.04</f>
        <v>785485383.77775908</v>
      </c>
      <c r="R95" s="583">
        <v>0</v>
      </c>
      <c r="S95" s="581">
        <f t="shared" si="28"/>
        <v>2249272368.6284323</v>
      </c>
      <c r="T95" s="556" t="s">
        <v>1341</v>
      </c>
      <c r="U95" s="580">
        <f>+S95-V95</f>
        <v>1517369919.1931939</v>
      </c>
      <c r="V95" s="580">
        <f>196293900.48*(1+7.26%)*(1+9.5%)+230546597.23*(1+6.6%)+245762672.65*(1+4%)</f>
        <v>731902449.43523848</v>
      </c>
      <c r="W95" s="580">
        <v>0</v>
      </c>
      <c r="X95" s="576" t="s">
        <v>1287</v>
      </c>
    </row>
    <row r="96" spans="1:24" ht="140.25">
      <c r="B96" s="956"/>
      <c r="C96" s="563" t="s">
        <v>1143</v>
      </c>
      <c r="D96" s="956"/>
      <c r="E96" s="887"/>
      <c r="F96" s="889"/>
      <c r="G96" s="750">
        <v>4</v>
      </c>
      <c r="H96" s="519" t="s">
        <v>1165</v>
      </c>
      <c r="I96" s="573" t="s">
        <v>989</v>
      </c>
      <c r="J96" s="520">
        <v>1</v>
      </c>
      <c r="K96" s="583">
        <v>0</v>
      </c>
      <c r="L96" s="583">
        <v>968000000</v>
      </c>
      <c r="M96" s="583">
        <v>0</v>
      </c>
      <c r="N96" s="583">
        <v>872000000</v>
      </c>
      <c r="O96" s="583">
        <v>0</v>
      </c>
      <c r="P96" s="583">
        <v>995000000</v>
      </c>
      <c r="Q96" s="583">
        <v>0</v>
      </c>
      <c r="R96" s="583">
        <v>0</v>
      </c>
      <c r="S96" s="581">
        <f t="shared" si="28"/>
        <v>2835000000</v>
      </c>
      <c r="T96" s="547" t="s">
        <v>1434</v>
      </c>
      <c r="U96" s="580">
        <f>+S96</f>
        <v>2835000000</v>
      </c>
      <c r="V96" s="580">
        <v>0</v>
      </c>
      <c r="W96" s="580">
        <v>0</v>
      </c>
      <c r="X96" s="577" t="s">
        <v>1268</v>
      </c>
    </row>
    <row r="97" spans="2:24" ht="127.5">
      <c r="B97" s="960" t="s">
        <v>1134</v>
      </c>
      <c r="C97" s="565" t="s">
        <v>876</v>
      </c>
      <c r="D97" s="960" t="s">
        <v>273</v>
      </c>
      <c r="E97" s="920" t="s">
        <v>648</v>
      </c>
      <c r="F97" s="925" t="s">
        <v>968</v>
      </c>
      <c r="G97" s="344">
        <v>1</v>
      </c>
      <c r="H97" s="345" t="s">
        <v>970</v>
      </c>
      <c r="I97" s="345" t="s">
        <v>969</v>
      </c>
      <c r="J97" s="344">
        <v>2</v>
      </c>
      <c r="K97" s="584">
        <v>0</v>
      </c>
      <c r="L97" s="584">
        <v>12100000000</v>
      </c>
      <c r="M97" s="584">
        <v>0</v>
      </c>
      <c r="N97" s="586">
        <v>0</v>
      </c>
      <c r="O97" s="584">
        <v>0</v>
      </c>
      <c r="P97" s="586">
        <v>0</v>
      </c>
      <c r="Q97" s="584">
        <v>0</v>
      </c>
      <c r="R97" s="584">
        <v>0</v>
      </c>
      <c r="S97" s="582">
        <f t="shared" si="28"/>
        <v>12100000000</v>
      </c>
      <c r="T97" s="559" t="s">
        <v>1342</v>
      </c>
      <c r="U97" s="779">
        <f>+S97</f>
        <v>12100000000</v>
      </c>
      <c r="V97" s="779">
        <v>0</v>
      </c>
      <c r="W97" s="779">
        <v>0</v>
      </c>
      <c r="X97" s="576" t="s">
        <v>1267</v>
      </c>
    </row>
    <row r="98" spans="2:24" ht="153">
      <c r="B98" s="961"/>
      <c r="C98" s="565" t="s">
        <v>876</v>
      </c>
      <c r="D98" s="961"/>
      <c r="E98" s="924"/>
      <c r="F98" s="926"/>
      <c r="G98" s="757">
        <v>2</v>
      </c>
      <c r="H98" s="760" t="s">
        <v>971</v>
      </c>
      <c r="I98" s="571" t="s">
        <v>1253</v>
      </c>
      <c r="J98" s="757">
        <v>2</v>
      </c>
      <c r="K98" s="584">
        <v>0</v>
      </c>
      <c r="L98" s="584">
        <v>0</v>
      </c>
      <c r="M98" s="584">
        <v>0</v>
      </c>
      <c r="N98" s="721">
        <f>7220022196+7847850213</f>
        <v>15067872409</v>
      </c>
      <c r="O98" s="584">
        <v>0</v>
      </c>
      <c r="P98" s="585">
        <v>0</v>
      </c>
      <c r="Q98" s="584">
        <v>0</v>
      </c>
      <c r="R98" s="722">
        <v>0</v>
      </c>
      <c r="S98" s="582">
        <f t="shared" si="28"/>
        <v>15067872409</v>
      </c>
      <c r="T98" s="559" t="s">
        <v>1343</v>
      </c>
      <c r="U98" s="779">
        <v>0</v>
      </c>
      <c r="V98" s="779">
        <v>0</v>
      </c>
      <c r="W98" s="779">
        <f>+S98</f>
        <v>15067872409</v>
      </c>
      <c r="X98" s="576" t="s">
        <v>1271</v>
      </c>
    </row>
    <row r="99" spans="2:24" ht="178.5">
      <c r="B99" s="961"/>
      <c r="C99" s="565" t="s">
        <v>876</v>
      </c>
      <c r="D99" s="961"/>
      <c r="E99" s="924"/>
      <c r="F99" s="926"/>
      <c r="G99" s="344">
        <v>3</v>
      </c>
      <c r="H99" s="345" t="s">
        <v>1085</v>
      </c>
      <c r="I99" s="571" t="s">
        <v>973</v>
      </c>
      <c r="J99" s="344">
        <v>2</v>
      </c>
      <c r="K99" s="584">
        <v>0</v>
      </c>
      <c r="L99" s="584">
        <v>0</v>
      </c>
      <c r="M99" s="584">
        <v>0</v>
      </c>
      <c r="N99" s="584">
        <v>0</v>
      </c>
      <c r="O99" s="584">
        <v>0</v>
      </c>
      <c r="P99" s="584">
        <v>0</v>
      </c>
      <c r="Q99" s="584">
        <v>0</v>
      </c>
      <c r="R99" s="722">
        <f>163000000000+177019920000</f>
        <v>340019920000</v>
      </c>
      <c r="S99" s="582">
        <f t="shared" si="28"/>
        <v>340019920000</v>
      </c>
      <c r="T99" s="559" t="s">
        <v>1431</v>
      </c>
      <c r="U99" s="779">
        <v>0</v>
      </c>
      <c r="V99" s="779">
        <v>0</v>
      </c>
      <c r="W99" s="779">
        <f>+S99</f>
        <v>340019920000</v>
      </c>
      <c r="X99" s="576" t="s">
        <v>1267</v>
      </c>
    </row>
    <row r="100" spans="2:24" ht="60" customHeight="1">
      <c r="B100" s="954" t="s">
        <v>757</v>
      </c>
      <c r="C100" s="563" t="s">
        <v>876</v>
      </c>
      <c r="D100" s="954" t="s">
        <v>273</v>
      </c>
      <c r="E100" s="886" t="s">
        <v>649</v>
      </c>
      <c r="F100" s="888" t="s">
        <v>975</v>
      </c>
      <c r="G100" s="718">
        <v>1</v>
      </c>
      <c r="H100" s="552" t="s">
        <v>978</v>
      </c>
      <c r="I100" s="409" t="s">
        <v>976</v>
      </c>
      <c r="J100" s="718">
        <v>2</v>
      </c>
      <c r="K100" s="583">
        <f>986602237+(194969494*1.076)</f>
        <v>1196389412.5439999</v>
      </c>
      <c r="L100" s="583">
        <v>0</v>
      </c>
      <c r="M100" s="583">
        <f>+K100*1.095</f>
        <v>1310046406.7356799</v>
      </c>
      <c r="N100" s="583">
        <v>0</v>
      </c>
      <c r="O100" s="583">
        <v>0</v>
      </c>
      <c r="P100" s="583">
        <v>0</v>
      </c>
      <c r="Q100" s="583">
        <v>0</v>
      </c>
      <c r="R100" s="583">
        <v>0</v>
      </c>
      <c r="S100" s="581">
        <f t="shared" si="28"/>
        <v>2506435819.2796798</v>
      </c>
      <c r="T100" s="560" t="s">
        <v>1199</v>
      </c>
      <c r="U100" s="580">
        <f>+S100</f>
        <v>2506435819.2796798</v>
      </c>
      <c r="V100" s="580">
        <v>0</v>
      </c>
      <c r="W100" s="580">
        <v>0</v>
      </c>
      <c r="X100" s="576" t="s">
        <v>1271</v>
      </c>
    </row>
    <row r="101" spans="2:24" ht="63.75">
      <c r="B101" s="955"/>
      <c r="C101" s="563" t="s">
        <v>876</v>
      </c>
      <c r="D101" s="955"/>
      <c r="E101" s="904"/>
      <c r="F101" s="908"/>
      <c r="G101" s="718">
        <v>2</v>
      </c>
      <c r="H101" s="606" t="s">
        <v>979</v>
      </c>
      <c r="I101" s="409" t="s">
        <v>972</v>
      </c>
      <c r="J101" s="718">
        <v>2</v>
      </c>
      <c r="K101" s="583">
        <v>0</v>
      </c>
      <c r="L101" s="583">
        <v>0</v>
      </c>
      <c r="M101" s="583">
        <v>0</v>
      </c>
      <c r="N101" s="583">
        <v>7253014558</v>
      </c>
      <c r="O101" s="583">
        <v>0</v>
      </c>
      <c r="P101" s="583">
        <v>696135705</v>
      </c>
      <c r="Q101" s="583">
        <v>0</v>
      </c>
      <c r="R101" s="583">
        <v>0</v>
      </c>
      <c r="S101" s="581">
        <f t="shared" si="28"/>
        <v>7949150263</v>
      </c>
      <c r="T101" s="560" t="s">
        <v>1200</v>
      </c>
      <c r="U101" s="580">
        <v>0</v>
      </c>
      <c r="V101" s="580">
        <v>0</v>
      </c>
      <c r="W101" s="580">
        <f>+S101</f>
        <v>7949150263</v>
      </c>
      <c r="X101" s="576" t="s">
        <v>1271</v>
      </c>
    </row>
    <row r="102" spans="2:24" ht="165.75">
      <c r="B102" s="955"/>
      <c r="C102" s="563" t="s">
        <v>876</v>
      </c>
      <c r="D102" s="955"/>
      <c r="E102" s="904"/>
      <c r="F102" s="908"/>
      <c r="G102" s="622">
        <v>3</v>
      </c>
      <c r="H102" s="606" t="s">
        <v>980</v>
      </c>
      <c r="I102" s="409" t="s">
        <v>973</v>
      </c>
      <c r="J102" s="718">
        <v>2</v>
      </c>
      <c r="K102" s="583">
        <v>0</v>
      </c>
      <c r="L102" s="583">
        <v>0</v>
      </c>
      <c r="M102" s="583">
        <v>0</v>
      </c>
      <c r="N102" s="583">
        <v>0</v>
      </c>
      <c r="O102" s="583">
        <v>0</v>
      </c>
      <c r="P102" s="583">
        <v>0</v>
      </c>
      <c r="Q102" s="583">
        <v>0</v>
      </c>
      <c r="R102" s="583">
        <f>545341727146+49565577600</f>
        <v>594907304746</v>
      </c>
      <c r="S102" s="581">
        <f t="shared" si="28"/>
        <v>594907304746</v>
      </c>
      <c r="T102" s="560" t="s">
        <v>1344</v>
      </c>
      <c r="U102" s="580">
        <v>0</v>
      </c>
      <c r="V102" s="580">
        <v>0</v>
      </c>
      <c r="W102" s="580">
        <f>+S102</f>
        <v>594907304746</v>
      </c>
      <c r="X102" s="576" t="s">
        <v>1243</v>
      </c>
    </row>
    <row r="103" spans="2:24" ht="204">
      <c r="B103" s="960" t="s">
        <v>852</v>
      </c>
      <c r="C103" s="568" t="s">
        <v>877</v>
      </c>
      <c r="D103" s="960" t="s">
        <v>273</v>
      </c>
      <c r="E103" s="920" t="s">
        <v>650</v>
      </c>
      <c r="F103" s="933" t="s">
        <v>974</v>
      </c>
      <c r="G103" s="447">
        <v>1</v>
      </c>
      <c r="H103" s="487" t="s">
        <v>1158</v>
      </c>
      <c r="I103" s="462" t="s">
        <v>1319</v>
      </c>
      <c r="J103" s="461">
        <v>1</v>
      </c>
      <c r="K103" s="584">
        <v>1422523657</v>
      </c>
      <c r="L103" s="584">
        <v>2840000000</v>
      </c>
      <c r="M103" s="584">
        <f>+K103*1.085</f>
        <v>1543438167.845</v>
      </c>
      <c r="N103" s="584">
        <v>1985000000</v>
      </c>
      <c r="O103" s="584">
        <f>+M103*1.056</f>
        <v>1629870705.2443202</v>
      </c>
      <c r="P103" s="584">
        <v>1438000000</v>
      </c>
      <c r="Q103" s="584">
        <f>+O103*1.03</f>
        <v>1678766826.4016497</v>
      </c>
      <c r="R103" s="584">
        <v>0</v>
      </c>
      <c r="S103" s="582">
        <f t="shared" si="28"/>
        <v>12537599356.490971</v>
      </c>
      <c r="T103" s="559" t="s">
        <v>1345</v>
      </c>
      <c r="U103" s="779">
        <f t="shared" ref="U103:U109" si="31">+S103</f>
        <v>12537599356.490971</v>
      </c>
      <c r="V103" s="779">
        <v>0</v>
      </c>
      <c r="W103" s="779">
        <v>0</v>
      </c>
      <c r="X103" s="576" t="s">
        <v>1271</v>
      </c>
    </row>
    <row r="104" spans="2:24" ht="153.75">
      <c r="B104" s="962"/>
      <c r="C104" s="568" t="s">
        <v>881</v>
      </c>
      <c r="D104" s="962"/>
      <c r="E104" s="921"/>
      <c r="F104" s="935"/>
      <c r="G104" s="344">
        <v>2</v>
      </c>
      <c r="H104" s="453" t="s">
        <v>659</v>
      </c>
      <c r="I104" s="462" t="s">
        <v>1166</v>
      </c>
      <c r="J104" s="461">
        <v>1</v>
      </c>
      <c r="K104" s="584">
        <v>0</v>
      </c>
      <c r="L104" s="584">
        <v>2840000000</v>
      </c>
      <c r="M104" s="584">
        <v>0</v>
      </c>
      <c r="N104" s="584">
        <v>1985000000</v>
      </c>
      <c r="O104" s="584">
        <v>0</v>
      </c>
      <c r="P104" s="584">
        <v>1438000000</v>
      </c>
      <c r="Q104" s="584">
        <v>0</v>
      </c>
      <c r="R104" s="584">
        <v>0</v>
      </c>
      <c r="S104" s="582">
        <f t="shared" si="28"/>
        <v>6263000000</v>
      </c>
      <c r="T104" s="428" t="s">
        <v>1346</v>
      </c>
      <c r="U104" s="779">
        <f t="shared" si="31"/>
        <v>6263000000</v>
      </c>
      <c r="V104" s="779">
        <v>0</v>
      </c>
      <c r="W104" s="779">
        <v>0</v>
      </c>
      <c r="X104" s="576" t="s">
        <v>1279</v>
      </c>
    </row>
    <row r="105" spans="2:24" ht="114.75">
      <c r="B105" s="575" t="s">
        <v>757</v>
      </c>
      <c r="C105" s="575" t="s">
        <v>1142</v>
      </c>
      <c r="D105" s="575" t="s">
        <v>273</v>
      </c>
      <c r="E105" s="749" t="s">
        <v>651</v>
      </c>
      <c r="F105" s="519" t="s">
        <v>658</v>
      </c>
      <c r="G105" s="718">
        <v>1</v>
      </c>
      <c r="H105" s="409" t="s">
        <v>796</v>
      </c>
      <c r="I105" s="409" t="s">
        <v>797</v>
      </c>
      <c r="J105" s="495">
        <v>0.71</v>
      </c>
      <c r="K105" s="583">
        <v>436498612</v>
      </c>
      <c r="L105" s="583">
        <v>0</v>
      </c>
      <c r="M105" s="583">
        <f>+K105*(1+9.5%)</f>
        <v>477965980.13999999</v>
      </c>
      <c r="N105" s="583">
        <v>0</v>
      </c>
      <c r="O105" s="583">
        <f>+M105*(1+6.6%)</f>
        <v>509511734.82924002</v>
      </c>
      <c r="P105" s="583">
        <v>0</v>
      </c>
      <c r="Q105" s="583">
        <f>+O105*(1+4%)</f>
        <v>529892204.22240967</v>
      </c>
      <c r="R105" s="583">
        <v>0</v>
      </c>
      <c r="S105" s="581">
        <f t="shared" si="28"/>
        <v>1953868531.1916497</v>
      </c>
      <c r="T105" s="560" t="s">
        <v>1347</v>
      </c>
      <c r="U105" s="580">
        <f t="shared" si="31"/>
        <v>1953868531.1916497</v>
      </c>
      <c r="V105" s="580">
        <v>0</v>
      </c>
      <c r="W105" s="580">
        <v>0</v>
      </c>
      <c r="X105" s="576" t="s">
        <v>1272</v>
      </c>
    </row>
    <row r="106" spans="2:24" ht="97.5" customHeight="1">
      <c r="B106" s="960" t="s">
        <v>844</v>
      </c>
      <c r="C106" s="960" t="s">
        <v>861</v>
      </c>
      <c r="D106" s="960" t="s">
        <v>574</v>
      </c>
      <c r="E106" s="920" t="s">
        <v>652</v>
      </c>
      <c r="F106" s="925" t="s">
        <v>709</v>
      </c>
      <c r="G106" s="937">
        <v>1</v>
      </c>
      <c r="H106" s="942" t="s">
        <v>1397</v>
      </c>
      <c r="I106" s="345" t="s">
        <v>1009</v>
      </c>
      <c r="J106" s="442">
        <v>1</v>
      </c>
      <c r="K106" s="584">
        <f>1071179501+348434090+235493877+((327128909.76+177057358.08+(2*30887032.32))*1+7.26%)</f>
        <v>2221067800.5525999</v>
      </c>
      <c r="L106" s="584">
        <v>0</v>
      </c>
      <c r="M106" s="584">
        <v>0</v>
      </c>
      <c r="N106" s="584">
        <v>0</v>
      </c>
      <c r="O106" s="584">
        <v>0</v>
      </c>
      <c r="P106" s="584">
        <v>0</v>
      </c>
      <c r="Q106" s="584">
        <v>0</v>
      </c>
      <c r="R106" s="584">
        <v>0</v>
      </c>
      <c r="S106" s="582">
        <f t="shared" si="28"/>
        <v>2221067800.5525999</v>
      </c>
      <c r="T106" s="432" t="s">
        <v>1205</v>
      </c>
      <c r="U106" s="779">
        <f t="shared" si="31"/>
        <v>2221067800.5525999</v>
      </c>
      <c r="V106" s="779">
        <v>0</v>
      </c>
      <c r="W106" s="779">
        <v>0</v>
      </c>
      <c r="X106" s="576" t="s">
        <v>1272</v>
      </c>
    </row>
    <row r="107" spans="2:24" ht="114.75">
      <c r="B107" s="961"/>
      <c r="C107" s="961"/>
      <c r="D107" s="961"/>
      <c r="E107" s="924"/>
      <c r="F107" s="926"/>
      <c r="G107" s="941"/>
      <c r="H107" s="943"/>
      <c r="I107" s="345" t="s">
        <v>1011</v>
      </c>
      <c r="J107" s="442">
        <v>1</v>
      </c>
      <c r="K107" s="584">
        <f>1071179501+348434090+235493877+((327128909.76+177057358.08+(2*30887032.32))*1+7.26%)</f>
        <v>2221067800.5525999</v>
      </c>
      <c r="L107" s="584">
        <v>0</v>
      </c>
      <c r="M107" s="584">
        <f>+K107*(1+9.5%)</f>
        <v>2432069241.6050968</v>
      </c>
      <c r="N107" s="584">
        <v>0</v>
      </c>
      <c r="O107" s="584">
        <f>+M107*(1+6.6%)</f>
        <v>2592585811.5510335</v>
      </c>
      <c r="P107" s="584">
        <v>0</v>
      </c>
      <c r="Q107" s="584">
        <f>+O107*(1+4%)</f>
        <v>2696289244.0130749</v>
      </c>
      <c r="R107" s="584">
        <v>0</v>
      </c>
      <c r="S107" s="582">
        <f t="shared" si="28"/>
        <v>9942012097.7218056</v>
      </c>
      <c r="T107" s="432" t="s">
        <v>1206</v>
      </c>
      <c r="U107" s="779">
        <f t="shared" si="31"/>
        <v>9942012097.7218056</v>
      </c>
      <c r="V107" s="779">
        <v>0</v>
      </c>
      <c r="W107" s="779">
        <v>0</v>
      </c>
      <c r="X107" s="576" t="s">
        <v>1289</v>
      </c>
    </row>
    <row r="108" spans="2:24" ht="63.75">
      <c r="B108" s="961"/>
      <c r="C108" s="961"/>
      <c r="D108" s="961"/>
      <c r="E108" s="924"/>
      <c r="F108" s="926"/>
      <c r="G108" s="941"/>
      <c r="H108" s="943"/>
      <c r="I108" s="345" t="s">
        <v>1044</v>
      </c>
      <c r="J108" s="477">
        <v>6</v>
      </c>
      <c r="K108" s="584">
        <f>+(5399642755)*(1+7.26%)+235493877</f>
        <v>6027150696.0129995</v>
      </c>
      <c r="L108" s="584">
        <v>0</v>
      </c>
      <c r="M108" s="584">
        <f>+K108*(1+9.5%)</f>
        <v>6599730012.1342344</v>
      </c>
      <c r="N108" s="584">
        <v>0</v>
      </c>
      <c r="O108" s="584">
        <f>+M108*(1+6.6%)</f>
        <v>7035312192.9350939</v>
      </c>
      <c r="P108" s="584">
        <v>0</v>
      </c>
      <c r="Q108" s="584">
        <f>+O108*(1+4%)</f>
        <v>7316724680.6524982</v>
      </c>
      <c r="R108" s="584">
        <v>0</v>
      </c>
      <c r="S108" s="582">
        <f t="shared" si="28"/>
        <v>26978917581.734825</v>
      </c>
      <c r="T108" s="421" t="s">
        <v>1201</v>
      </c>
      <c r="U108" s="779">
        <f t="shared" si="31"/>
        <v>26978917581.734825</v>
      </c>
      <c r="V108" s="779">
        <v>0</v>
      </c>
      <c r="W108" s="779">
        <v>0</v>
      </c>
      <c r="X108" s="576" t="s">
        <v>1272</v>
      </c>
    </row>
    <row r="109" spans="2:24" ht="140.25">
      <c r="B109" s="962"/>
      <c r="C109" s="962"/>
      <c r="D109" s="962"/>
      <c r="E109" s="921"/>
      <c r="F109" s="927"/>
      <c r="G109" s="938"/>
      <c r="H109" s="944"/>
      <c r="I109" s="436" t="s">
        <v>1012</v>
      </c>
      <c r="J109" s="490">
        <v>1</v>
      </c>
      <c r="K109" s="585">
        <v>0</v>
      </c>
      <c r="L109" s="585">
        <v>968000000</v>
      </c>
      <c r="M109" s="585">
        <v>0</v>
      </c>
      <c r="N109" s="585">
        <v>872000000</v>
      </c>
      <c r="O109" s="585">
        <v>0</v>
      </c>
      <c r="P109" s="585">
        <v>995000000</v>
      </c>
      <c r="Q109" s="585">
        <v>0</v>
      </c>
      <c r="R109" s="585">
        <v>0</v>
      </c>
      <c r="S109" s="582">
        <f t="shared" si="28"/>
        <v>2835000000</v>
      </c>
      <c r="T109" s="436" t="s">
        <v>1324</v>
      </c>
      <c r="U109" s="779">
        <f t="shared" si="31"/>
        <v>2835000000</v>
      </c>
      <c r="V109" s="779">
        <f>+S109-U109</f>
        <v>0</v>
      </c>
      <c r="W109" s="779">
        <v>0</v>
      </c>
      <c r="X109" s="576" t="s">
        <v>1243</v>
      </c>
    </row>
    <row r="110" spans="2:24" ht="51">
      <c r="B110" s="575" t="s">
        <v>757</v>
      </c>
      <c r="C110" s="575" t="s">
        <v>872</v>
      </c>
      <c r="D110" s="575" t="s">
        <v>574</v>
      </c>
      <c r="E110" s="749" t="s">
        <v>653</v>
      </c>
      <c r="F110" s="519" t="s">
        <v>799</v>
      </c>
      <c r="G110" s="718">
        <v>1</v>
      </c>
      <c r="H110" s="409" t="s">
        <v>798</v>
      </c>
      <c r="I110" s="409" t="s">
        <v>168</v>
      </c>
      <c r="J110" s="718" t="s">
        <v>1171</v>
      </c>
      <c r="K110" s="583">
        <v>0</v>
      </c>
      <c r="L110" s="583">
        <v>0</v>
      </c>
      <c r="M110" s="583">
        <v>0</v>
      </c>
      <c r="N110" s="583">
        <v>0</v>
      </c>
      <c r="O110" s="583">
        <v>0</v>
      </c>
      <c r="P110" s="583">
        <v>0</v>
      </c>
      <c r="Q110" s="583">
        <v>0</v>
      </c>
      <c r="R110" s="583">
        <v>0</v>
      </c>
      <c r="S110" s="581">
        <f t="shared" si="28"/>
        <v>0</v>
      </c>
      <c r="T110" s="557" t="s">
        <v>1348</v>
      </c>
      <c r="U110" s="580">
        <v>0</v>
      </c>
      <c r="V110" s="580">
        <v>0</v>
      </c>
      <c r="W110" s="580">
        <v>0</v>
      </c>
      <c r="X110" s="576" t="s">
        <v>1273</v>
      </c>
    </row>
    <row r="111" spans="2:24" ht="38.25">
      <c r="B111" s="568" t="s">
        <v>757</v>
      </c>
      <c r="C111" s="568" t="s">
        <v>872</v>
      </c>
      <c r="D111" s="568" t="s">
        <v>574</v>
      </c>
      <c r="E111" s="756" t="s">
        <v>654</v>
      </c>
      <c r="F111" s="436" t="s">
        <v>860</v>
      </c>
      <c r="G111" s="344">
        <v>1</v>
      </c>
      <c r="H111" s="345" t="s">
        <v>800</v>
      </c>
      <c r="I111" s="345" t="s">
        <v>1100</v>
      </c>
      <c r="J111" s="344" t="s">
        <v>1520</v>
      </c>
      <c r="K111" s="585">
        <v>0</v>
      </c>
      <c r="L111" s="585">
        <v>0</v>
      </c>
      <c r="M111" s="585">
        <v>0</v>
      </c>
      <c r="N111" s="585">
        <v>0</v>
      </c>
      <c r="O111" s="585">
        <v>0</v>
      </c>
      <c r="P111" s="585">
        <v>0</v>
      </c>
      <c r="Q111" s="585">
        <v>0</v>
      </c>
      <c r="R111" s="585">
        <v>0</v>
      </c>
      <c r="S111" s="588">
        <f t="shared" si="28"/>
        <v>0</v>
      </c>
      <c r="T111" s="589" t="s">
        <v>1349</v>
      </c>
      <c r="U111" s="780">
        <v>0</v>
      </c>
      <c r="V111" s="780">
        <v>0</v>
      </c>
      <c r="W111" s="780">
        <v>0</v>
      </c>
      <c r="X111" s="576" t="s">
        <v>1269</v>
      </c>
    </row>
    <row r="112" spans="2:24" ht="76.5" customHeight="1">
      <c r="B112" s="954" t="s">
        <v>845</v>
      </c>
      <c r="C112" s="954" t="s">
        <v>862</v>
      </c>
      <c r="D112" s="954" t="s">
        <v>574</v>
      </c>
      <c r="E112" s="886" t="s">
        <v>655</v>
      </c>
      <c r="F112" s="888" t="s">
        <v>1399</v>
      </c>
      <c r="G112" s="914">
        <v>1</v>
      </c>
      <c r="H112" s="939" t="s">
        <v>510</v>
      </c>
      <c r="I112" s="409" t="s">
        <v>1521</v>
      </c>
      <c r="J112" s="495">
        <v>0.2</v>
      </c>
      <c r="K112" s="583">
        <v>1955657000</v>
      </c>
      <c r="L112" s="583">
        <v>0</v>
      </c>
      <c r="M112" s="583">
        <f>+K112*1.095</f>
        <v>2141444415</v>
      </c>
      <c r="N112" s="583">
        <v>0</v>
      </c>
      <c r="O112" s="583">
        <f>+M112*1.066</f>
        <v>2282779746.3900003</v>
      </c>
      <c r="P112" s="583">
        <v>0</v>
      </c>
      <c r="Q112" s="583">
        <f>+O112*1.04</f>
        <v>2374090936.2456002</v>
      </c>
      <c r="R112" s="583">
        <v>0</v>
      </c>
      <c r="S112" s="581">
        <f t="shared" si="28"/>
        <v>8753972097.635601</v>
      </c>
      <c r="T112" s="552" t="s">
        <v>1490</v>
      </c>
      <c r="U112" s="580">
        <f>+S112</f>
        <v>8753972097.635601</v>
      </c>
      <c r="V112" s="580">
        <v>0</v>
      </c>
      <c r="W112" s="580">
        <v>0</v>
      </c>
      <c r="X112" s="576"/>
    </row>
    <row r="113" spans="2:24" ht="63.75">
      <c r="B113" s="955"/>
      <c r="C113" s="955"/>
      <c r="D113" s="955"/>
      <c r="E113" s="904"/>
      <c r="F113" s="908"/>
      <c r="G113" s="915"/>
      <c r="H113" s="953"/>
      <c r="I113" s="409" t="s">
        <v>1090</v>
      </c>
      <c r="J113" s="495">
        <v>0.4</v>
      </c>
      <c r="K113" s="583">
        <v>1955657000</v>
      </c>
      <c r="L113" s="583">
        <v>0</v>
      </c>
      <c r="M113" s="583">
        <f>+K113*1.095</f>
        <v>2141444415</v>
      </c>
      <c r="N113" s="583">
        <v>0</v>
      </c>
      <c r="O113" s="583">
        <f>+M113*1.066</f>
        <v>2282779746.3900003</v>
      </c>
      <c r="P113" s="583">
        <v>0</v>
      </c>
      <c r="Q113" s="583">
        <f>+O113*1.04</f>
        <v>2374090936.2456002</v>
      </c>
      <c r="R113" s="583">
        <v>0</v>
      </c>
      <c r="S113" s="581">
        <f t="shared" si="28"/>
        <v>8753972097.635601</v>
      </c>
      <c r="T113" s="552" t="s">
        <v>1490</v>
      </c>
      <c r="U113" s="580">
        <f>+S113</f>
        <v>8753972097.635601</v>
      </c>
      <c r="V113" s="580">
        <v>0</v>
      </c>
      <c r="W113" s="580">
        <v>0</v>
      </c>
      <c r="X113" s="576"/>
    </row>
    <row r="114" spans="2:24" ht="63.75">
      <c r="B114" s="956"/>
      <c r="C114" s="956"/>
      <c r="D114" s="956"/>
      <c r="E114" s="887"/>
      <c r="F114" s="889"/>
      <c r="G114" s="916"/>
      <c r="H114" s="940"/>
      <c r="I114" s="409" t="s">
        <v>1091</v>
      </c>
      <c r="J114" s="495">
        <v>0.2</v>
      </c>
      <c r="K114" s="583">
        <v>0</v>
      </c>
      <c r="L114" s="583">
        <v>0</v>
      </c>
      <c r="M114" s="583">
        <v>0</v>
      </c>
      <c r="N114" s="583">
        <v>0</v>
      </c>
      <c r="O114" s="583">
        <v>0</v>
      </c>
      <c r="P114" s="583">
        <v>0</v>
      </c>
      <c r="Q114" s="583">
        <v>0</v>
      </c>
      <c r="R114" s="583">
        <v>0</v>
      </c>
      <c r="S114" s="581">
        <f t="shared" si="28"/>
        <v>0</v>
      </c>
      <c r="T114" s="552" t="s">
        <v>1491</v>
      </c>
      <c r="U114" s="580">
        <v>0</v>
      </c>
      <c r="V114" s="580">
        <v>0</v>
      </c>
      <c r="W114" s="580">
        <v>0</v>
      </c>
      <c r="X114" s="576"/>
    </row>
    <row r="115" spans="2:24">
      <c r="B115"/>
      <c r="C115"/>
      <c r="D115"/>
      <c r="E115"/>
      <c r="F115"/>
      <c r="G115"/>
      <c r="H115"/>
      <c r="I115"/>
      <c r="J115"/>
      <c r="K115" s="590">
        <f t="shared" ref="K115:S115" si="32">+SUM(K5:K114)</f>
        <v>212651729260.56522</v>
      </c>
      <c r="L115" s="590">
        <f t="shared" si="32"/>
        <v>64202345541</v>
      </c>
      <c r="M115" s="590">
        <f t="shared" si="32"/>
        <v>246463221685.11646</v>
      </c>
      <c r="N115" s="590">
        <f t="shared" si="32"/>
        <v>65048937014.665001</v>
      </c>
      <c r="O115" s="590">
        <f t="shared" si="32"/>
        <v>253915317110.13815</v>
      </c>
      <c r="P115" s="590">
        <f t="shared" si="32"/>
        <v>66708496133.176003</v>
      </c>
      <c r="Q115" s="590">
        <f t="shared" si="32"/>
        <v>248617270106.00778</v>
      </c>
      <c r="R115" s="590">
        <f t="shared" si="32"/>
        <v>935566823448.19092</v>
      </c>
      <c r="S115" s="590">
        <f t="shared" si="32"/>
        <v>2093174140298.8586</v>
      </c>
      <c r="T115" s="433"/>
      <c r="U115" s="590">
        <f>+SUM(U5:U114)</f>
        <v>1110234493100.4177</v>
      </c>
      <c r="V115" s="590">
        <f>+SUM(V5:V114)</f>
        <v>14348934657.697878</v>
      </c>
      <c r="W115" s="590">
        <f>+SUM(W5:W114)</f>
        <v>968590712540.74292</v>
      </c>
    </row>
    <row r="116" spans="2:24">
      <c r="B116" s="312"/>
      <c r="C116" s="312"/>
      <c r="D116" s="234"/>
      <c r="E116" s="235"/>
      <c r="F116" s="236"/>
      <c r="G116" s="257"/>
      <c r="H116" s="257"/>
      <c r="I116" s="257"/>
      <c r="J116" s="313"/>
      <c r="K116" s="424"/>
      <c r="L116" s="424"/>
      <c r="M116" s="424"/>
      <c r="N116" s="424"/>
      <c r="O116" s="424"/>
      <c r="P116" s="424"/>
      <c r="Q116" s="424"/>
      <c r="R116" s="424"/>
      <c r="S116" s="430"/>
    </row>
    <row r="117" spans="2:24" hidden="1">
      <c r="B117" s="312"/>
      <c r="C117" s="312"/>
      <c r="D117" s="234"/>
      <c r="E117" s="235"/>
      <c r="F117" s="236"/>
      <c r="G117" s="257"/>
      <c r="H117" s="257"/>
      <c r="I117" s="257"/>
      <c r="J117" s="313"/>
      <c r="K117" s="424"/>
      <c r="L117" s="424"/>
      <c r="M117" s="424"/>
      <c r="N117" s="424"/>
      <c r="O117" s="424"/>
      <c r="P117" s="424"/>
      <c r="Q117" s="424"/>
      <c r="R117" s="424"/>
      <c r="S117" s="430"/>
    </row>
    <row r="118" spans="2:24" hidden="1">
      <c r="B118" s="312"/>
      <c r="C118" s="312"/>
      <c r="D118" s="234"/>
      <c r="E118" s="235"/>
      <c r="F118" s="236"/>
      <c r="G118" s="257"/>
      <c r="H118" s="257"/>
      <c r="I118" s="257"/>
      <c r="J118" s="313"/>
      <c r="K118" s="424"/>
      <c r="L118" s="424"/>
      <c r="M118" s="424"/>
      <c r="N118" s="424"/>
      <c r="O118" s="424"/>
      <c r="P118" s="424"/>
      <c r="Q118" s="424"/>
      <c r="R118" s="424"/>
      <c r="S118" s="430"/>
    </row>
    <row r="119" spans="2:24" hidden="1">
      <c r="B119" s="312"/>
      <c r="C119" s="312"/>
      <c r="D119" s="234"/>
      <c r="E119" s="235"/>
      <c r="F119" s="236"/>
      <c r="G119" s="257"/>
      <c r="H119" s="257"/>
      <c r="I119" s="257"/>
      <c r="J119" s="313"/>
      <c r="K119" s="424"/>
      <c r="L119" s="424"/>
      <c r="M119" s="424"/>
      <c r="N119" s="424"/>
      <c r="O119" s="424"/>
      <c r="P119" s="424"/>
      <c r="Q119" s="424"/>
      <c r="R119" s="424"/>
      <c r="S119" s="430"/>
    </row>
    <row r="120" spans="2:24" hidden="1">
      <c r="K120" s="424"/>
      <c r="L120" s="424"/>
      <c r="M120" s="424"/>
      <c r="N120" s="424"/>
      <c r="O120" s="424"/>
      <c r="P120" s="424"/>
      <c r="Q120" s="424"/>
      <c r="R120" s="424"/>
      <c r="S120" s="430"/>
    </row>
  </sheetData>
  <autoFilter ref="B3:X115" xr:uid="{00000000-0009-0000-0000-000008000000}">
    <filterColumn colId="3" showButton="0"/>
    <filterColumn colId="5" showButton="0"/>
  </autoFilter>
  <mergeCells count="187">
    <mergeCell ref="X3:X4"/>
    <mergeCell ref="K2:L2"/>
    <mergeCell ref="M2:N2"/>
    <mergeCell ref="O2:P2"/>
    <mergeCell ref="Q2:R2"/>
    <mergeCell ref="U2:V2"/>
    <mergeCell ref="D3:D4"/>
    <mergeCell ref="E3:F4"/>
    <mergeCell ref="G3:H4"/>
    <mergeCell ref="I3:I4"/>
    <mergeCell ref="J3:J4"/>
    <mergeCell ref="W3:W4"/>
    <mergeCell ref="S3:S4"/>
    <mergeCell ref="T3:T4"/>
    <mergeCell ref="U3:U4"/>
    <mergeCell ref="B2:J2"/>
    <mergeCell ref="C3:C4"/>
    <mergeCell ref="D11:D12"/>
    <mergeCell ref="E11:E12"/>
    <mergeCell ref="F11:F12"/>
    <mergeCell ref="I11:I12"/>
    <mergeCell ref="J11:J12"/>
    <mergeCell ref="D13:D14"/>
    <mergeCell ref="E13:E14"/>
    <mergeCell ref="F13:F14"/>
    <mergeCell ref="V3:V4"/>
    <mergeCell ref="D5:D7"/>
    <mergeCell ref="E5:E7"/>
    <mergeCell ref="F5:F7"/>
    <mergeCell ref="D8:D10"/>
    <mergeCell ref="E8:E10"/>
    <mergeCell ref="F8:F10"/>
    <mergeCell ref="Q3:Q4"/>
    <mergeCell ref="R3:R4"/>
    <mergeCell ref="K3:K4"/>
    <mergeCell ref="L3:L4"/>
    <mergeCell ref="M3:M4"/>
    <mergeCell ref="N3:N4"/>
    <mergeCell ref="O3:O4"/>
    <mergeCell ref="P3:P4"/>
    <mergeCell ref="G8:G9"/>
    <mergeCell ref="D22:D23"/>
    <mergeCell ref="E22:E23"/>
    <mergeCell ref="F22:F23"/>
    <mergeCell ref="D15:D16"/>
    <mergeCell ref="E15:E16"/>
    <mergeCell ref="F15:F16"/>
    <mergeCell ref="D17:D18"/>
    <mergeCell ref="E17:E18"/>
    <mergeCell ref="F17:F18"/>
    <mergeCell ref="F29:F30"/>
    <mergeCell ref="D31:D32"/>
    <mergeCell ref="E31:E32"/>
    <mergeCell ref="F31:F32"/>
    <mergeCell ref="D24:D26"/>
    <mergeCell ref="E24:E26"/>
    <mergeCell ref="F24:F26"/>
    <mergeCell ref="D27:D28"/>
    <mergeCell ref="E27:E28"/>
    <mergeCell ref="F27:F28"/>
    <mergeCell ref="D44:D49"/>
    <mergeCell ref="E44:E49"/>
    <mergeCell ref="F44:F49"/>
    <mergeCell ref="G44:G49"/>
    <mergeCell ref="H44:H49"/>
    <mergeCell ref="D38:D39"/>
    <mergeCell ref="E38:E39"/>
    <mergeCell ref="F38:F39"/>
    <mergeCell ref="D40:D42"/>
    <mergeCell ref="E40:E42"/>
    <mergeCell ref="F40:F42"/>
    <mergeCell ref="E50:E53"/>
    <mergeCell ref="F50:F53"/>
    <mergeCell ref="G50:G53"/>
    <mergeCell ref="H50:H53"/>
    <mergeCell ref="D56:D58"/>
    <mergeCell ref="E56:E58"/>
    <mergeCell ref="F56:F58"/>
    <mergeCell ref="G57:G58"/>
    <mergeCell ref="H57:H58"/>
    <mergeCell ref="H73:H76"/>
    <mergeCell ref="D78:D79"/>
    <mergeCell ref="E78:E79"/>
    <mergeCell ref="F78:F79"/>
    <mergeCell ref="G78:G79"/>
    <mergeCell ref="H78:H79"/>
    <mergeCell ref="G62:G63"/>
    <mergeCell ref="H62:H63"/>
    <mergeCell ref="D65:D69"/>
    <mergeCell ref="E65:E69"/>
    <mergeCell ref="F65:F69"/>
    <mergeCell ref="D70:D72"/>
    <mergeCell ref="E70:E72"/>
    <mergeCell ref="F70:F72"/>
    <mergeCell ref="G71:G72"/>
    <mergeCell ref="H71:H72"/>
    <mergeCell ref="D62:D64"/>
    <mergeCell ref="E62:E64"/>
    <mergeCell ref="F62:F64"/>
    <mergeCell ref="D59:D60"/>
    <mergeCell ref="E59:E60"/>
    <mergeCell ref="F59:F60"/>
    <mergeCell ref="D50:D53"/>
    <mergeCell ref="B22:B23"/>
    <mergeCell ref="H106:H109"/>
    <mergeCell ref="D112:D114"/>
    <mergeCell ref="E112:E114"/>
    <mergeCell ref="F112:F114"/>
    <mergeCell ref="G112:G114"/>
    <mergeCell ref="H112:H114"/>
    <mergeCell ref="D103:D104"/>
    <mergeCell ref="E103:E104"/>
    <mergeCell ref="F103:F104"/>
    <mergeCell ref="D106:D109"/>
    <mergeCell ref="E106:E109"/>
    <mergeCell ref="F106:F109"/>
    <mergeCell ref="H89:H90"/>
    <mergeCell ref="D92:D96"/>
    <mergeCell ref="E92:E96"/>
    <mergeCell ref="F92:F96"/>
    <mergeCell ref="G93:G94"/>
    <mergeCell ref="H93:H94"/>
    <mergeCell ref="D81:D84"/>
    <mergeCell ref="G106:G109"/>
    <mergeCell ref="D97:D99"/>
    <mergeCell ref="E97:E99"/>
    <mergeCell ref="F97:F99"/>
    <mergeCell ref="D100:D102"/>
    <mergeCell ref="E100:E102"/>
    <mergeCell ref="F100:F102"/>
    <mergeCell ref="G89:G90"/>
    <mergeCell ref="D73:D76"/>
    <mergeCell ref="E73:E76"/>
    <mergeCell ref="F73:F76"/>
    <mergeCell ref="G73:G76"/>
    <mergeCell ref="E81:E84"/>
    <mergeCell ref="F81:F84"/>
    <mergeCell ref="D86:D91"/>
    <mergeCell ref="E86:E91"/>
    <mergeCell ref="F86:F91"/>
    <mergeCell ref="B24:B26"/>
    <mergeCell ref="B27:B28"/>
    <mergeCell ref="B29:B30"/>
    <mergeCell ref="B31:B32"/>
    <mergeCell ref="B33:B34"/>
    <mergeCell ref="B35:B37"/>
    <mergeCell ref="B38:B39"/>
    <mergeCell ref="B3:B4"/>
    <mergeCell ref="H8:H9"/>
    <mergeCell ref="B5:B7"/>
    <mergeCell ref="B8:B10"/>
    <mergeCell ref="B11:B12"/>
    <mergeCell ref="B13:B14"/>
    <mergeCell ref="B15:B16"/>
    <mergeCell ref="B17:B18"/>
    <mergeCell ref="C17:C18"/>
    <mergeCell ref="D33:D34"/>
    <mergeCell ref="E33:E34"/>
    <mergeCell ref="F33:F34"/>
    <mergeCell ref="D35:D37"/>
    <mergeCell ref="E35:E37"/>
    <mergeCell ref="F35:F37"/>
    <mergeCell ref="D29:D30"/>
    <mergeCell ref="E29:E30"/>
    <mergeCell ref="B103:B104"/>
    <mergeCell ref="B106:B109"/>
    <mergeCell ref="C106:C109"/>
    <mergeCell ref="B112:B114"/>
    <mergeCell ref="C112:C114"/>
    <mergeCell ref="B70:B72"/>
    <mergeCell ref="C71:C72"/>
    <mergeCell ref="B73:B76"/>
    <mergeCell ref="B78:B79"/>
    <mergeCell ref="B81:B84"/>
    <mergeCell ref="B86:B91"/>
    <mergeCell ref="C89:C90"/>
    <mergeCell ref="B92:B96"/>
    <mergeCell ref="B97:B99"/>
    <mergeCell ref="B40:B42"/>
    <mergeCell ref="B44:B49"/>
    <mergeCell ref="B50:B53"/>
    <mergeCell ref="B56:B58"/>
    <mergeCell ref="C57:C58"/>
    <mergeCell ref="B59:B60"/>
    <mergeCell ref="B62:B64"/>
    <mergeCell ref="B65:B68"/>
    <mergeCell ref="B100:B10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Comparación general estructura</vt:lpstr>
      <vt:lpstr>Estructura general </vt:lpstr>
      <vt:lpstr>Armonización PED-PI</vt:lpstr>
      <vt:lpstr>a. Propuesta de gobierno</vt:lpstr>
      <vt:lpstr>Armonización PED-PI (2)</vt:lpstr>
      <vt:lpstr>Arm. Obs CNA-PI</vt:lpstr>
      <vt:lpstr>Resumen Plan Indicativo </vt:lpstr>
      <vt:lpstr>Plan Indicativo 2022-2025</vt:lpstr>
      <vt:lpstr>Costeo por proyecto</vt:lpstr>
      <vt:lpstr>Costo Plan</vt:lpstr>
      <vt:lpstr>Resumen General</vt:lpstr>
      <vt:lpstr>Aporte al PED</vt:lpstr>
      <vt:lpstr>hoja validación PED</vt:lpstr>
      <vt:lpstr>PED (Ajustado)</vt:lpstr>
      <vt:lpstr>Estructura P. Gobierno</vt:lpstr>
      <vt:lpstr>'Arm. Obs CNA-PI'!Área_de_impresión</vt:lpstr>
      <vt:lpstr>'Armonización PED-PI'!Área_de_impresión</vt:lpstr>
      <vt:lpstr>'Armonización PED-PI (2)'!Área_de_impresión</vt:lpstr>
      <vt:lpstr>'PED (Ajustado)'!Área_de_impresión</vt:lpstr>
      <vt:lpstr>'Plan Indicativo 2022-2025'!Área_de_impresión</vt:lpstr>
      <vt:lpstr>'Arm. Obs CNA-PI'!Títulos_a_imprimir</vt:lpstr>
      <vt:lpstr>'Armonización PED-PI'!Títulos_a_imprimir</vt:lpstr>
      <vt:lpstr>'Armonización PED-PI (2)'!Títulos_a_imprimir</vt:lpstr>
      <vt:lpstr>'PED (Ajustado)'!Títulos_a_imprimir</vt:lpstr>
      <vt:lpstr>'Plan Indicativo 2022-2025'!Títulos_a_imprimir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Rivera</dc:creator>
  <cp:lastModifiedBy>Karen Rivera</cp:lastModifiedBy>
  <cp:lastPrinted>2022-07-30T00:32:47Z</cp:lastPrinted>
  <dcterms:created xsi:type="dcterms:W3CDTF">2021-07-03T22:09:39Z</dcterms:created>
  <dcterms:modified xsi:type="dcterms:W3CDTF">2023-08-29T16:30:36Z</dcterms:modified>
</cp:coreProperties>
</file>